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ria\Downloads\Максим проект\"/>
    </mc:Choice>
  </mc:AlternateContent>
  <xr:revisionPtr revIDLastSave="0" documentId="13_ncr:1_{50E080E7-0E88-412E-A560-66DAA670B071}" xr6:coauthVersionLast="47" xr6:coauthVersionMax="47" xr10:uidLastSave="{00000000-0000-0000-0000-000000000000}"/>
  <bookViews>
    <workbookView xWindow="828" yWindow="-108" windowWidth="22320" windowHeight="13176" firstSheet="1" activeTab="4" xr2:uid="{73424C46-B5D3-4246-BD44-19DEB96C5B24}"/>
  </bookViews>
  <sheets>
    <sheet name="Затраты" sheetId="1" r:id="rId1"/>
    <sheet name="Прогнозы продаж" sheetId="2" r:id="rId2"/>
    <sheet name="Финансовый план" sheetId="3" r:id="rId3"/>
    <sheet name="Показатели эффективности" sheetId="4" r:id="rId4"/>
    <sheet name="Точка безубыточности и риски" sheetId="5" r:id="rId5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4" l="1"/>
  <c r="C5" i="4"/>
  <c r="AF62" i="2"/>
  <c r="AF63" i="2" s="1"/>
  <c r="AF68" i="2"/>
  <c r="AJ68" i="2" s="1"/>
  <c r="AH56" i="2"/>
  <c r="AR56" i="2" s="1"/>
  <c r="S68" i="2"/>
  <c r="U6" i="3"/>
  <c r="AC57" i="2"/>
  <c r="V6" i="3"/>
  <c r="Q68" i="2"/>
  <c r="Q62" i="2"/>
  <c r="Q63" i="2" s="1"/>
  <c r="U63" i="2" s="1"/>
  <c r="V5" i="3"/>
  <c r="W56" i="2"/>
  <c r="W57" i="2" s="1"/>
  <c r="E5" i="4"/>
  <c r="D5" i="4"/>
  <c r="E4" i="4"/>
  <c r="D4" i="4"/>
  <c r="C4" i="4"/>
  <c r="B4" i="4"/>
  <c r="T95" i="3"/>
  <c r="U95" i="3"/>
  <c r="V95" i="3"/>
  <c r="T96" i="3"/>
  <c r="U96" i="3"/>
  <c r="V96" i="3"/>
  <c r="V94" i="3" s="1"/>
  <c r="T97" i="3"/>
  <c r="W97" i="3" s="1"/>
  <c r="U97" i="3"/>
  <c r="U94" i="3" s="1"/>
  <c r="V97" i="3"/>
  <c r="T98" i="3"/>
  <c r="U98" i="3"/>
  <c r="V98" i="3"/>
  <c r="T99" i="3"/>
  <c r="U99" i="3"/>
  <c r="V99" i="3"/>
  <c r="T100" i="3"/>
  <c r="U100" i="3"/>
  <c r="V100" i="3"/>
  <c r="T101" i="3"/>
  <c r="U101" i="3"/>
  <c r="V101" i="3"/>
  <c r="T102" i="3"/>
  <c r="W102" i="3" s="1"/>
  <c r="U102" i="3"/>
  <c r="V102" i="3"/>
  <c r="T103" i="3"/>
  <c r="U103" i="3"/>
  <c r="V103" i="3"/>
  <c r="T104" i="3"/>
  <c r="W104" i="3" s="1"/>
  <c r="U104" i="3"/>
  <c r="V104" i="3"/>
  <c r="T105" i="3"/>
  <c r="U105" i="3"/>
  <c r="V105" i="3"/>
  <c r="T106" i="3"/>
  <c r="U106" i="3"/>
  <c r="V106" i="3"/>
  <c r="S106" i="3"/>
  <c r="S105" i="3"/>
  <c r="S104" i="3"/>
  <c r="S103" i="3"/>
  <c r="S102" i="3"/>
  <c r="S101" i="3"/>
  <c r="S100" i="3"/>
  <c r="S99" i="3"/>
  <c r="S98" i="3"/>
  <c r="S97" i="3"/>
  <c r="S96" i="3"/>
  <c r="S95" i="3"/>
  <c r="W95" i="3"/>
  <c r="W93" i="3"/>
  <c r="W92" i="3"/>
  <c r="W91" i="3"/>
  <c r="W90" i="3"/>
  <c r="W89" i="3"/>
  <c r="W88" i="3"/>
  <c r="W87" i="3"/>
  <c r="W86" i="3"/>
  <c r="W85" i="3"/>
  <c r="W84" i="3"/>
  <c r="W83" i="3"/>
  <c r="W82" i="3"/>
  <c r="V81" i="3"/>
  <c r="U81" i="3"/>
  <c r="T81" i="3"/>
  <c r="S81" i="3"/>
  <c r="W79" i="3"/>
  <c r="V78" i="3"/>
  <c r="U78" i="3"/>
  <c r="T78" i="3"/>
  <c r="S78" i="3"/>
  <c r="T59" i="3"/>
  <c r="U59" i="3"/>
  <c r="V59" i="3"/>
  <c r="T60" i="3"/>
  <c r="U60" i="3"/>
  <c r="V60" i="3"/>
  <c r="T61" i="3"/>
  <c r="U61" i="3"/>
  <c r="V61" i="3"/>
  <c r="T62" i="3"/>
  <c r="U62" i="3"/>
  <c r="V62" i="3"/>
  <c r="T63" i="3"/>
  <c r="U63" i="3"/>
  <c r="V63" i="3"/>
  <c r="T64" i="3"/>
  <c r="U64" i="3"/>
  <c r="V64" i="3"/>
  <c r="T65" i="3"/>
  <c r="U65" i="3"/>
  <c r="V65" i="3"/>
  <c r="T66" i="3"/>
  <c r="U66" i="3"/>
  <c r="V66" i="3"/>
  <c r="T67" i="3"/>
  <c r="W67" i="3" s="1"/>
  <c r="U67" i="3"/>
  <c r="V67" i="3"/>
  <c r="T68" i="3"/>
  <c r="U68" i="3"/>
  <c r="V68" i="3"/>
  <c r="T69" i="3"/>
  <c r="U69" i="3"/>
  <c r="V69" i="3"/>
  <c r="T70" i="3"/>
  <c r="U70" i="3"/>
  <c r="V70" i="3"/>
  <c r="T71" i="3"/>
  <c r="U71" i="3"/>
  <c r="V71" i="3"/>
  <c r="S71" i="3"/>
  <c r="W71" i="3" s="1"/>
  <c r="S70" i="3"/>
  <c r="W70" i="3" s="1"/>
  <c r="S69" i="3"/>
  <c r="S68" i="3"/>
  <c r="S67" i="3"/>
  <c r="S66" i="3"/>
  <c r="S65" i="3"/>
  <c r="W65" i="3" s="1"/>
  <c r="S64" i="3"/>
  <c r="S63" i="3"/>
  <c r="W63" i="3" s="1"/>
  <c r="S62" i="3"/>
  <c r="W62" i="3" s="1"/>
  <c r="S61" i="3"/>
  <c r="S60" i="3"/>
  <c r="S59" i="3"/>
  <c r="W59" i="3" s="1"/>
  <c r="S45" i="3"/>
  <c r="V45" i="3"/>
  <c r="W66" i="3"/>
  <c r="W57" i="3"/>
  <c r="W56" i="3"/>
  <c r="W55" i="3"/>
  <c r="W54" i="3"/>
  <c r="W53" i="3"/>
  <c r="W52" i="3"/>
  <c r="W51" i="3"/>
  <c r="W50" i="3"/>
  <c r="W49" i="3"/>
  <c r="W48" i="3"/>
  <c r="W47" i="3"/>
  <c r="W46" i="3"/>
  <c r="U45" i="3"/>
  <c r="T45" i="3"/>
  <c r="V42" i="3"/>
  <c r="W43" i="3"/>
  <c r="T42" i="3"/>
  <c r="S42" i="3"/>
  <c r="W33" i="3"/>
  <c r="W32" i="3"/>
  <c r="W28" i="3"/>
  <c r="W35" i="3"/>
  <c r="W31" i="3"/>
  <c r="W30" i="3"/>
  <c r="W26" i="3"/>
  <c r="W25" i="3"/>
  <c r="W23" i="3"/>
  <c r="W20" i="3"/>
  <c r="W19" i="3"/>
  <c r="W18" i="3"/>
  <c r="W16" i="3"/>
  <c r="W15" i="3"/>
  <c r="W14" i="3"/>
  <c r="W13" i="3"/>
  <c r="W12" i="3"/>
  <c r="W11" i="3"/>
  <c r="V8" i="3"/>
  <c r="S5" i="3"/>
  <c r="U5" i="3"/>
  <c r="C8" i="3"/>
  <c r="C7" i="3" s="1"/>
  <c r="D16" i="3"/>
  <c r="D8" i="3" s="1"/>
  <c r="D7" i="3" s="1"/>
  <c r="I4" i="3"/>
  <c r="C6" i="3"/>
  <c r="O6" i="3" s="1"/>
  <c r="O18" i="3"/>
  <c r="O17" i="3"/>
  <c r="O14" i="3"/>
  <c r="O13" i="3"/>
  <c r="O12" i="3"/>
  <c r="O11" i="3"/>
  <c r="O9" i="3"/>
  <c r="O5" i="3"/>
  <c r="N4" i="3"/>
  <c r="M4" i="3"/>
  <c r="L4" i="3"/>
  <c r="K4" i="3"/>
  <c r="J4" i="3"/>
  <c r="H4" i="3"/>
  <c r="G4" i="3"/>
  <c r="F4" i="3"/>
  <c r="E4" i="3"/>
  <c r="D4" i="3"/>
  <c r="C4" i="3"/>
  <c r="AI68" i="2"/>
  <c r="AH68" i="2"/>
  <c r="AG68" i="2"/>
  <c r="AI69" i="2"/>
  <c r="AH69" i="2"/>
  <c r="AG69" i="2"/>
  <c r="AI62" i="2"/>
  <c r="AI63" i="2" s="1"/>
  <c r="AH63" i="2"/>
  <c r="AG63" i="2"/>
  <c r="AH62" i="2"/>
  <c r="AG62" i="2"/>
  <c r="AP56" i="2"/>
  <c r="AP57" i="2" s="1"/>
  <c r="AQ57" i="2"/>
  <c r="AO57" i="2"/>
  <c r="AN57" i="2"/>
  <c r="AM57" i="2"/>
  <c r="AL57" i="2"/>
  <c r="AK57" i="2"/>
  <c r="AJ57" i="2"/>
  <c r="AI57" i="2"/>
  <c r="AG57" i="2"/>
  <c r="AF57" i="2"/>
  <c r="AQ56" i="2"/>
  <c r="T68" i="2"/>
  <c r="R68" i="2"/>
  <c r="Q69" i="2"/>
  <c r="T62" i="2"/>
  <c r="S62" i="2"/>
  <c r="T69" i="2"/>
  <c r="S69" i="2"/>
  <c r="R69" i="2"/>
  <c r="T63" i="2"/>
  <c r="S63" i="2"/>
  <c r="R63" i="2"/>
  <c r="AA56" i="2"/>
  <c r="AA57" i="2" s="1"/>
  <c r="AB56" i="2"/>
  <c r="R57" i="2"/>
  <c r="S57" i="2"/>
  <c r="T57" i="2"/>
  <c r="U57" i="2"/>
  <c r="V57" i="2"/>
  <c r="X57" i="2"/>
  <c r="Y57" i="2"/>
  <c r="Z57" i="2"/>
  <c r="Q57" i="2"/>
  <c r="D68" i="2"/>
  <c r="D69" i="2" s="1"/>
  <c r="E68" i="2"/>
  <c r="E69" i="2" s="1"/>
  <c r="C68" i="2"/>
  <c r="C69" i="2" s="1"/>
  <c r="D62" i="2"/>
  <c r="D63" i="2" s="1"/>
  <c r="B62" i="2"/>
  <c r="E62" i="2"/>
  <c r="C62" i="2"/>
  <c r="C63" i="2" s="1"/>
  <c r="N57" i="2"/>
  <c r="M56" i="2"/>
  <c r="N56" i="2" s="1"/>
  <c r="M57" i="2"/>
  <c r="B69" i="2"/>
  <c r="F67" i="2"/>
  <c r="E63" i="2"/>
  <c r="B63" i="2"/>
  <c r="L57" i="2"/>
  <c r="C57" i="2"/>
  <c r="D57" i="2"/>
  <c r="E57" i="2"/>
  <c r="F57" i="2"/>
  <c r="G57" i="2"/>
  <c r="H57" i="2"/>
  <c r="I57" i="2"/>
  <c r="J57" i="2"/>
  <c r="K57" i="2"/>
  <c r="B57" i="2"/>
  <c r="F61" i="2"/>
  <c r="N55" i="2"/>
  <c r="AJ67" i="2"/>
  <c r="U67" i="2"/>
  <c r="AJ61" i="2"/>
  <c r="U61" i="2"/>
  <c r="AR55" i="2"/>
  <c r="AC55" i="2"/>
  <c r="AI41" i="2"/>
  <c r="AH41" i="2"/>
  <c r="AG41" i="2"/>
  <c r="AF41" i="2"/>
  <c r="AI49" i="2"/>
  <c r="AH49" i="2"/>
  <c r="AG49" i="2"/>
  <c r="AF49" i="2"/>
  <c r="T41" i="2"/>
  <c r="S41" i="2"/>
  <c r="R41" i="2"/>
  <c r="Q41" i="2"/>
  <c r="T49" i="2"/>
  <c r="S49" i="2"/>
  <c r="R49" i="2"/>
  <c r="Q49" i="2"/>
  <c r="E49" i="2"/>
  <c r="D49" i="2"/>
  <c r="C49" i="2"/>
  <c r="B49" i="2"/>
  <c r="C41" i="2"/>
  <c r="D41" i="2"/>
  <c r="E41" i="2"/>
  <c r="B41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B33" i="2"/>
  <c r="AA33" i="2"/>
  <c r="Z33" i="2"/>
  <c r="Y33" i="2"/>
  <c r="X33" i="2"/>
  <c r="W33" i="2"/>
  <c r="V33" i="2"/>
  <c r="U33" i="2"/>
  <c r="T33" i="2"/>
  <c r="S33" i="2"/>
  <c r="R33" i="2"/>
  <c r="Q33" i="2"/>
  <c r="C33" i="2"/>
  <c r="D33" i="2"/>
  <c r="E33" i="2"/>
  <c r="F33" i="2"/>
  <c r="G33" i="2"/>
  <c r="H33" i="2"/>
  <c r="I33" i="2"/>
  <c r="J33" i="2"/>
  <c r="K33" i="2"/>
  <c r="L33" i="2"/>
  <c r="M33" i="2"/>
  <c r="B33" i="2"/>
  <c r="AJ47" i="2"/>
  <c r="AJ40" i="2"/>
  <c r="AR32" i="2"/>
  <c r="U47" i="2"/>
  <c r="F47" i="2"/>
  <c r="U40" i="2"/>
  <c r="F40" i="2"/>
  <c r="AC32" i="2"/>
  <c r="N32" i="2"/>
  <c r="U48" i="2"/>
  <c r="U46" i="2"/>
  <c r="U45" i="2"/>
  <c r="AJ48" i="2"/>
  <c r="AJ46" i="2"/>
  <c r="AJ45" i="2"/>
  <c r="AJ39" i="2"/>
  <c r="AJ38" i="2"/>
  <c r="AJ37" i="2"/>
  <c r="U39" i="2"/>
  <c r="U38" i="2"/>
  <c r="U37" i="2"/>
  <c r="AR31" i="2"/>
  <c r="AR30" i="2"/>
  <c r="AR29" i="2"/>
  <c r="AC31" i="2"/>
  <c r="AC30" i="2"/>
  <c r="AC29" i="2"/>
  <c r="F48" i="2"/>
  <c r="F46" i="2"/>
  <c r="F45" i="2"/>
  <c r="F39" i="2"/>
  <c r="F38" i="2"/>
  <c r="F37" i="2"/>
  <c r="N31" i="2"/>
  <c r="N30" i="2"/>
  <c r="N29" i="2"/>
  <c r="AK104" i="1"/>
  <c r="AK88" i="1"/>
  <c r="AK71" i="1"/>
  <c r="BA46" i="1"/>
  <c r="BA45" i="1"/>
  <c r="BB45" i="1" s="1"/>
  <c r="BC45" i="1" s="1"/>
  <c r="BA44" i="1"/>
  <c r="BA43" i="1"/>
  <c r="BA42" i="1"/>
  <c r="BB42" i="1" s="1"/>
  <c r="BA41" i="1"/>
  <c r="BA39" i="1"/>
  <c r="BB39" i="1" s="1"/>
  <c r="BC39" i="1" s="1"/>
  <c r="BA38" i="1"/>
  <c r="BB38" i="1" s="1"/>
  <c r="BA37" i="1"/>
  <c r="BA36" i="1"/>
  <c r="BB36" i="1" s="1"/>
  <c r="BA30" i="1"/>
  <c r="BB30" i="1" s="1"/>
  <c r="BC30" i="1" s="1"/>
  <c r="BD30" i="1" s="1"/>
  <c r="BA29" i="1"/>
  <c r="BA28" i="1"/>
  <c r="BA27" i="1"/>
  <c r="BB27" i="1" s="1"/>
  <c r="BC27" i="1" s="1"/>
  <c r="BD27" i="1" s="1"/>
  <c r="BA26" i="1"/>
  <c r="BB26" i="1" s="1"/>
  <c r="BC26" i="1" s="1"/>
  <c r="BA25" i="1"/>
  <c r="BA23" i="1"/>
  <c r="BB23" i="1" s="1"/>
  <c r="BA22" i="1"/>
  <c r="BA20" i="1"/>
  <c r="BB20" i="1" s="1"/>
  <c r="BC20" i="1" s="1"/>
  <c r="BA21" i="1"/>
  <c r="BA14" i="1"/>
  <c r="BB14" i="1" s="1"/>
  <c r="BC14" i="1" s="1"/>
  <c r="BD14" i="1" s="1"/>
  <c r="BA13" i="1"/>
  <c r="BA12" i="1"/>
  <c r="BA11" i="1"/>
  <c r="BA10" i="1"/>
  <c r="BA9" i="1"/>
  <c r="BB9" i="1" s="1"/>
  <c r="BC9" i="1" s="1"/>
  <c r="BD9" i="1" s="1"/>
  <c r="BA7" i="1"/>
  <c r="BB7" i="1" s="1"/>
  <c r="BC7" i="1" s="1"/>
  <c r="BA6" i="1"/>
  <c r="BA5" i="1"/>
  <c r="BB5" i="1" s="1"/>
  <c r="BC5" i="1" s="1"/>
  <c r="BD5" i="1" s="1"/>
  <c r="BA4" i="1"/>
  <c r="BB4" i="1" s="1"/>
  <c r="AS11" i="1"/>
  <c r="AT11" i="1" s="1"/>
  <c r="AU11" i="1" s="1"/>
  <c r="AV11" i="1" s="1"/>
  <c r="AS10" i="1"/>
  <c r="AT10" i="1" s="1"/>
  <c r="AU10" i="1" s="1"/>
  <c r="AS36" i="1"/>
  <c r="AS46" i="1"/>
  <c r="AS45" i="1"/>
  <c r="AT45" i="1" s="1"/>
  <c r="AU45" i="1" s="1"/>
  <c r="AS44" i="1"/>
  <c r="AS43" i="1"/>
  <c r="AT43" i="1" s="1"/>
  <c r="AU43" i="1" s="1"/>
  <c r="AV43" i="1" s="1"/>
  <c r="AS42" i="1"/>
  <c r="AT42" i="1" s="1"/>
  <c r="AS41" i="1"/>
  <c r="AS39" i="1"/>
  <c r="AT39" i="1" s="1"/>
  <c r="AS38" i="1"/>
  <c r="AS37" i="1"/>
  <c r="AS30" i="1"/>
  <c r="AT30" i="1" s="1"/>
  <c r="AU30" i="1" s="1"/>
  <c r="AV30" i="1" s="1"/>
  <c r="AS29" i="1"/>
  <c r="AS28" i="1"/>
  <c r="AS27" i="1"/>
  <c r="AS26" i="1"/>
  <c r="AT26" i="1" s="1"/>
  <c r="AS25" i="1"/>
  <c r="AT25" i="1" s="1"/>
  <c r="AS23" i="1"/>
  <c r="AT23" i="1" s="1"/>
  <c r="AS22" i="1"/>
  <c r="AT22" i="1" s="1"/>
  <c r="AS21" i="1"/>
  <c r="AS20" i="1"/>
  <c r="AT20" i="1" s="1"/>
  <c r="AU20" i="1" s="1"/>
  <c r="AS14" i="1"/>
  <c r="AT14" i="1" s="1"/>
  <c r="AS13" i="1"/>
  <c r="AS12" i="1"/>
  <c r="AS9" i="1"/>
  <c r="AS7" i="1"/>
  <c r="AT7" i="1" s="1"/>
  <c r="AU7" i="1" s="1"/>
  <c r="AS6" i="1"/>
  <c r="AS5" i="1"/>
  <c r="AT5" i="1" s="1"/>
  <c r="AU5" i="1" s="1"/>
  <c r="AV5" i="1" s="1"/>
  <c r="AS4" i="1"/>
  <c r="AK14" i="1"/>
  <c r="AL14" i="1" s="1"/>
  <c r="AK31" i="1"/>
  <c r="AL31" i="1" s="1"/>
  <c r="AM31" i="1" s="1"/>
  <c r="AN31" i="1" s="1"/>
  <c r="AK49" i="1"/>
  <c r="AK32" i="1"/>
  <c r="AL32" i="1" s="1"/>
  <c r="AM32" i="1" s="1"/>
  <c r="AN32" i="1" s="1"/>
  <c r="AK15" i="1"/>
  <c r="AK47" i="1"/>
  <c r="AK48" i="1"/>
  <c r="AL48" i="1" s="1"/>
  <c r="AK46" i="1"/>
  <c r="AK45" i="1"/>
  <c r="AL45" i="1" s="1"/>
  <c r="AM45" i="1" s="1"/>
  <c r="AN45" i="1" s="1"/>
  <c r="AK44" i="1"/>
  <c r="AK41" i="1"/>
  <c r="AK40" i="1"/>
  <c r="AK39" i="1"/>
  <c r="AK38" i="1"/>
  <c r="AL38" i="1" s="1"/>
  <c r="AO42" i="1"/>
  <c r="AK13" i="1"/>
  <c r="AK12" i="1"/>
  <c r="AL12" i="1" s="1"/>
  <c r="AM12" i="1" s="1"/>
  <c r="AN12" i="1" s="1"/>
  <c r="AK11" i="1"/>
  <c r="AL11" i="1" s="1"/>
  <c r="AK10" i="1"/>
  <c r="AK7" i="1"/>
  <c r="AL7" i="1" s="1"/>
  <c r="AK6" i="1"/>
  <c r="AK5" i="1"/>
  <c r="AK4" i="1"/>
  <c r="AL4" i="1" s="1"/>
  <c r="AO8" i="1"/>
  <c r="AK29" i="1"/>
  <c r="AL29" i="1" s="1"/>
  <c r="AM29" i="1" s="1"/>
  <c r="AN29" i="1" s="1"/>
  <c r="AK28" i="1"/>
  <c r="AL28" i="1" s="1"/>
  <c r="AM28" i="1" s="1"/>
  <c r="AN28" i="1" s="1"/>
  <c r="AK27" i="1"/>
  <c r="AL27" i="1" s="1"/>
  <c r="AM27" i="1" s="1"/>
  <c r="AN27" i="1" s="1"/>
  <c r="AK22" i="1"/>
  <c r="AL22" i="1" s="1"/>
  <c r="AM22" i="1" s="1"/>
  <c r="AN22" i="1" s="1"/>
  <c r="AO22" i="1" s="1"/>
  <c r="AK21" i="1"/>
  <c r="AK30" i="1"/>
  <c r="AL30" i="1" s="1"/>
  <c r="AM30" i="1" s="1"/>
  <c r="AN30" i="1" s="1"/>
  <c r="AK24" i="1"/>
  <c r="AK23" i="1"/>
  <c r="AL23" i="1" s="1"/>
  <c r="AM23" i="1" s="1"/>
  <c r="U25" i="1"/>
  <c r="AO25" i="1"/>
  <c r="AF18" i="1"/>
  <c r="AF19" i="1"/>
  <c r="AF20" i="1"/>
  <c r="AF21" i="1"/>
  <c r="AF22" i="1"/>
  <c r="AF23" i="1"/>
  <c r="AF24" i="1"/>
  <c r="AF26" i="1"/>
  <c r="AF27" i="1"/>
  <c r="T28" i="1"/>
  <c r="H5" i="1"/>
  <c r="I5" i="1"/>
  <c r="J5" i="1"/>
  <c r="K5" i="1"/>
  <c r="H11" i="1"/>
  <c r="I11" i="1"/>
  <c r="J11" i="1"/>
  <c r="K11" i="1"/>
  <c r="I17" i="1"/>
  <c r="J17" i="1"/>
  <c r="K17" i="1"/>
  <c r="T42" i="1"/>
  <c r="AF5" i="1"/>
  <c r="T14" i="1"/>
  <c r="AF41" i="1"/>
  <c r="AF40" i="1"/>
  <c r="U39" i="1"/>
  <c r="V39" i="1" s="1"/>
  <c r="V42" i="1" s="1"/>
  <c r="AF38" i="1"/>
  <c r="AF37" i="1"/>
  <c r="AF36" i="1"/>
  <c r="AF35" i="1"/>
  <c r="AF34" i="1"/>
  <c r="AF33" i="1"/>
  <c r="AF32" i="1"/>
  <c r="AF13" i="1"/>
  <c r="AF12" i="1"/>
  <c r="U11" i="1"/>
  <c r="V11" i="1" s="1"/>
  <c r="V14" i="1" s="1"/>
  <c r="AF10" i="1"/>
  <c r="AF9" i="1"/>
  <c r="AF8" i="1"/>
  <c r="AF7" i="1"/>
  <c r="AF6" i="1"/>
  <c r="AF4" i="1"/>
  <c r="N17" i="1"/>
  <c r="M17" i="1"/>
  <c r="L17" i="1"/>
  <c r="H17" i="1"/>
  <c r="G17" i="1"/>
  <c r="F17" i="1"/>
  <c r="E17" i="1"/>
  <c r="D17" i="1"/>
  <c r="C17" i="1"/>
  <c r="O16" i="1"/>
  <c r="N11" i="1"/>
  <c r="M11" i="1"/>
  <c r="L11" i="1"/>
  <c r="G11" i="1"/>
  <c r="F11" i="1"/>
  <c r="E11" i="1"/>
  <c r="D11" i="1"/>
  <c r="C11" i="1"/>
  <c r="O10" i="1"/>
  <c r="N5" i="1"/>
  <c r="M5" i="1"/>
  <c r="L5" i="1"/>
  <c r="G5" i="1"/>
  <c r="F5" i="1"/>
  <c r="E5" i="1"/>
  <c r="D5" i="1"/>
  <c r="C5" i="1"/>
  <c r="O4" i="1"/>
  <c r="O3" i="1"/>
  <c r="B89" i="4" l="1"/>
  <c r="D6" i="4"/>
  <c r="D89" i="4" s="1"/>
  <c r="E113" i="4" s="1"/>
  <c r="E6" i="4"/>
  <c r="E89" i="4" s="1"/>
  <c r="B116" i="4" s="1"/>
  <c r="C113" i="4"/>
  <c r="B92" i="4"/>
  <c r="E97" i="4" s="1"/>
  <c r="F97" i="4" s="1"/>
  <c r="C97" i="4"/>
  <c r="D92" i="4"/>
  <c r="E99" i="4" s="1"/>
  <c r="E92" i="4"/>
  <c r="E100" i="4" s="1"/>
  <c r="F113" i="4"/>
  <c r="C6" i="4"/>
  <c r="C89" i="4" s="1"/>
  <c r="D113" i="4" s="1"/>
  <c r="B112" i="4" s="1"/>
  <c r="AF69" i="2"/>
  <c r="AH57" i="2"/>
  <c r="U62" i="2"/>
  <c r="AC56" i="2"/>
  <c r="AC33" i="2"/>
  <c r="W103" i="3"/>
  <c r="W60" i="3"/>
  <c r="W96" i="3"/>
  <c r="W105" i="3"/>
  <c r="U58" i="3"/>
  <c r="W100" i="3"/>
  <c r="W64" i="3"/>
  <c r="W101" i="3"/>
  <c r="W61" i="3"/>
  <c r="V58" i="3"/>
  <c r="V80" i="3"/>
  <c r="V107" i="3"/>
  <c r="W98" i="3"/>
  <c r="U80" i="3"/>
  <c r="U107" i="3" s="1"/>
  <c r="W68" i="3"/>
  <c r="W69" i="3"/>
  <c r="W99" i="3"/>
  <c r="W106" i="3"/>
  <c r="S94" i="3"/>
  <c r="T94" i="3"/>
  <c r="T80" i="3" s="1"/>
  <c r="T107" i="3" s="1"/>
  <c r="W78" i="3"/>
  <c r="T58" i="3"/>
  <c r="T44" i="3"/>
  <c r="U44" i="3"/>
  <c r="S58" i="3"/>
  <c r="S44" i="3"/>
  <c r="S72" i="3" s="1"/>
  <c r="S73" i="3" s="1"/>
  <c r="V44" i="3"/>
  <c r="V72" i="3" s="1"/>
  <c r="O4" i="3"/>
  <c r="T72" i="3"/>
  <c r="W58" i="3"/>
  <c r="U42" i="3"/>
  <c r="U72" i="3" s="1"/>
  <c r="V22" i="3"/>
  <c r="V7" i="3" s="1"/>
  <c r="V36" i="3" s="1"/>
  <c r="S8" i="3"/>
  <c r="W29" i="3"/>
  <c r="T8" i="3"/>
  <c r="T22" i="3"/>
  <c r="U8" i="3"/>
  <c r="C19" i="3"/>
  <c r="C20" i="3" s="1"/>
  <c r="W21" i="3"/>
  <c r="W34" i="3"/>
  <c r="W24" i="3"/>
  <c r="W17" i="3"/>
  <c r="W27" i="3"/>
  <c r="W5" i="3"/>
  <c r="W6" i="3"/>
  <c r="W10" i="3"/>
  <c r="U22" i="3"/>
  <c r="W9" i="3"/>
  <c r="S22" i="3"/>
  <c r="E16" i="3"/>
  <c r="F16" i="3" s="1"/>
  <c r="G16" i="3" s="1"/>
  <c r="H16" i="3" s="1"/>
  <c r="I16" i="3" s="1"/>
  <c r="J16" i="3" s="1"/>
  <c r="K16" i="3" s="1"/>
  <c r="L16" i="3" s="1"/>
  <c r="M16" i="3" s="1"/>
  <c r="N16" i="3" s="1"/>
  <c r="O10" i="3"/>
  <c r="D19" i="3"/>
  <c r="AJ69" i="2"/>
  <c r="AJ62" i="2"/>
  <c r="AJ63" i="2"/>
  <c r="AR57" i="2"/>
  <c r="U68" i="2"/>
  <c r="U69" i="2"/>
  <c r="AB57" i="2"/>
  <c r="F62" i="2"/>
  <c r="F63" i="2"/>
  <c r="F69" i="2"/>
  <c r="F68" i="2"/>
  <c r="AJ41" i="2"/>
  <c r="AR33" i="2"/>
  <c r="U49" i="2"/>
  <c r="U41" i="2"/>
  <c r="AJ49" i="2"/>
  <c r="N33" i="2"/>
  <c r="F49" i="2"/>
  <c r="F41" i="2"/>
  <c r="AS15" i="1"/>
  <c r="BB28" i="1"/>
  <c r="BC28" i="1" s="1"/>
  <c r="BD28" i="1" s="1"/>
  <c r="BE9" i="1"/>
  <c r="BC23" i="1"/>
  <c r="BD23" i="1" s="1"/>
  <c r="BC4" i="1"/>
  <c r="BB15" i="1"/>
  <c r="BD7" i="1"/>
  <c r="BE7" i="1"/>
  <c r="BC42" i="1"/>
  <c r="BD42" i="1" s="1"/>
  <c r="BD45" i="1"/>
  <c r="BE45" i="1"/>
  <c r="BC38" i="1"/>
  <c r="BD38" i="1" s="1"/>
  <c r="BD26" i="1"/>
  <c r="BE26" i="1" s="1"/>
  <c r="BB11" i="1"/>
  <c r="BC11" i="1" s="1"/>
  <c r="BD11" i="1" s="1"/>
  <c r="BD20" i="1"/>
  <c r="BE20" i="1" s="1"/>
  <c r="BB46" i="1"/>
  <c r="BC46" i="1" s="1"/>
  <c r="BD46" i="1" s="1"/>
  <c r="BE14" i="1"/>
  <c r="BB43" i="1"/>
  <c r="BC43" i="1" s="1"/>
  <c r="BD43" i="1" s="1"/>
  <c r="BA15" i="1"/>
  <c r="BB21" i="1"/>
  <c r="BE30" i="1"/>
  <c r="BE27" i="1"/>
  <c r="BA31" i="1"/>
  <c r="BB37" i="1"/>
  <c r="BC37" i="1" s="1"/>
  <c r="BD37" i="1" s="1"/>
  <c r="BE5" i="1"/>
  <c r="BB12" i="1"/>
  <c r="BC12" i="1" s="1"/>
  <c r="BD12" i="1" s="1"/>
  <c r="BA47" i="1"/>
  <c r="BD39" i="1"/>
  <c r="BE39" i="1" s="1"/>
  <c r="BB6" i="1"/>
  <c r="BC6" i="1" s="1"/>
  <c r="BD6" i="1" s="1"/>
  <c r="BB22" i="1"/>
  <c r="BC22" i="1" s="1"/>
  <c r="BD22" i="1" s="1"/>
  <c r="BB41" i="1"/>
  <c r="BC41" i="1" s="1"/>
  <c r="BD41" i="1" s="1"/>
  <c r="BB25" i="1"/>
  <c r="BC25" i="1" s="1"/>
  <c r="BD25" i="1" s="1"/>
  <c r="BB44" i="1"/>
  <c r="BC44" i="1" s="1"/>
  <c r="BD44" i="1" s="1"/>
  <c r="BB13" i="1"/>
  <c r="BC13" i="1" s="1"/>
  <c r="BD13" i="1" s="1"/>
  <c r="BB10" i="1"/>
  <c r="BC10" i="1" s="1"/>
  <c r="BD10" i="1" s="1"/>
  <c r="BB29" i="1"/>
  <c r="BC29" i="1" s="1"/>
  <c r="BD29" i="1" s="1"/>
  <c r="BC36" i="1"/>
  <c r="AT36" i="1"/>
  <c r="AU36" i="1" s="1"/>
  <c r="AV36" i="1" s="1"/>
  <c r="AW36" i="1" s="1"/>
  <c r="AK33" i="1"/>
  <c r="AK50" i="1"/>
  <c r="AU23" i="1"/>
  <c r="AV23" i="1" s="1"/>
  <c r="AU39" i="1"/>
  <c r="AV39" i="1" s="1"/>
  <c r="AW39" i="1"/>
  <c r="AV10" i="1"/>
  <c r="AW10" i="1" s="1"/>
  <c r="AW11" i="1"/>
  <c r="AU14" i="1"/>
  <c r="AV14" i="1" s="1"/>
  <c r="AU26" i="1"/>
  <c r="AV26" i="1" s="1"/>
  <c r="AV45" i="1"/>
  <c r="AW45" i="1"/>
  <c r="AV20" i="1"/>
  <c r="AW20" i="1" s="1"/>
  <c r="AV7" i="1"/>
  <c r="AW7" i="1" s="1"/>
  <c r="AU42" i="1"/>
  <c r="AV42" i="1" s="1"/>
  <c r="AW30" i="1"/>
  <c r="AT27" i="1"/>
  <c r="AU27" i="1" s="1"/>
  <c r="AV27" i="1" s="1"/>
  <c r="AT21" i="1"/>
  <c r="AT46" i="1"/>
  <c r="AU46" i="1" s="1"/>
  <c r="AV46" i="1" s="1"/>
  <c r="AT12" i="1"/>
  <c r="AU12" i="1" s="1"/>
  <c r="AV12" i="1" s="1"/>
  <c r="AS31" i="1"/>
  <c r="AT37" i="1"/>
  <c r="AU37" i="1" s="1"/>
  <c r="AV37" i="1" s="1"/>
  <c r="AT6" i="1"/>
  <c r="AU6" i="1" s="1"/>
  <c r="AV6" i="1" s="1"/>
  <c r="AT9" i="1"/>
  <c r="AU9" i="1" s="1"/>
  <c r="AV9" i="1" s="1"/>
  <c r="AT28" i="1"/>
  <c r="AU28" i="1" s="1"/>
  <c r="AV28" i="1" s="1"/>
  <c r="AW43" i="1"/>
  <c r="AS47" i="1"/>
  <c r="AU22" i="1"/>
  <c r="AV22" i="1" s="1"/>
  <c r="AT13" i="1"/>
  <c r="AU13" i="1" s="1"/>
  <c r="AV13" i="1" s="1"/>
  <c r="AT38" i="1"/>
  <c r="AU38" i="1" s="1"/>
  <c r="AV38" i="1" s="1"/>
  <c r="AT41" i="1"/>
  <c r="AU41" i="1" s="1"/>
  <c r="AV41" i="1" s="1"/>
  <c r="AW5" i="1"/>
  <c r="AT44" i="1"/>
  <c r="AU44" i="1" s="1"/>
  <c r="AV44" i="1" s="1"/>
  <c r="AT4" i="1"/>
  <c r="AT29" i="1"/>
  <c r="AU29" i="1" s="1"/>
  <c r="AV29" i="1" s="1"/>
  <c r="AU25" i="1"/>
  <c r="AV25" i="1" s="1"/>
  <c r="AM38" i="1"/>
  <c r="AL41" i="1"/>
  <c r="AM41" i="1" s="1"/>
  <c r="AN41" i="1" s="1"/>
  <c r="AM48" i="1"/>
  <c r="AN48" i="1" s="1"/>
  <c r="AO45" i="1"/>
  <c r="AL49" i="1"/>
  <c r="AM49" i="1" s="1"/>
  <c r="AN49" i="1" s="1"/>
  <c r="AL39" i="1"/>
  <c r="AM39" i="1" s="1"/>
  <c r="AL47" i="1"/>
  <c r="AM47" i="1" s="1"/>
  <c r="AN47" i="1" s="1"/>
  <c r="AL44" i="1"/>
  <c r="AM44" i="1" s="1"/>
  <c r="AN44" i="1" s="1"/>
  <c r="AL46" i="1"/>
  <c r="AM46" i="1" s="1"/>
  <c r="AN46" i="1" s="1"/>
  <c r="AL40" i="1"/>
  <c r="AM40" i="1" s="1"/>
  <c r="AN40" i="1" s="1"/>
  <c r="AM4" i="1"/>
  <c r="AM11" i="1"/>
  <c r="AM14" i="1"/>
  <c r="AN14" i="1" s="1"/>
  <c r="AM7" i="1"/>
  <c r="AN7" i="1" s="1"/>
  <c r="AO7" i="1" s="1"/>
  <c r="AL15" i="1"/>
  <c r="AM15" i="1" s="1"/>
  <c r="AN15" i="1" s="1"/>
  <c r="AO12" i="1"/>
  <c r="AK16" i="1"/>
  <c r="AL6" i="1"/>
  <c r="AM6" i="1" s="1"/>
  <c r="AN6" i="1" s="1"/>
  <c r="AL10" i="1"/>
  <c r="AM10" i="1" s="1"/>
  <c r="AN10" i="1" s="1"/>
  <c r="AL5" i="1"/>
  <c r="AM5" i="1" s="1"/>
  <c r="AN5" i="1" s="1"/>
  <c r="AL13" i="1"/>
  <c r="AM13" i="1" s="1"/>
  <c r="AN13" i="1" s="1"/>
  <c r="AO32" i="1"/>
  <c r="AL21" i="1"/>
  <c r="AO31" i="1"/>
  <c r="AO30" i="1"/>
  <c r="AO28" i="1"/>
  <c r="AL24" i="1"/>
  <c r="AM24" i="1" s="1"/>
  <c r="AN24" i="1" s="1"/>
  <c r="AO24" i="1" s="1"/>
  <c r="AN23" i="1"/>
  <c r="AO23" i="1" s="1"/>
  <c r="AO27" i="1"/>
  <c r="U14" i="1"/>
  <c r="U42" i="1"/>
  <c r="V25" i="1"/>
  <c r="U28" i="1"/>
  <c r="W39" i="1"/>
  <c r="W42" i="1" s="1"/>
  <c r="W11" i="1"/>
  <c r="W14" i="1" s="1"/>
  <c r="O17" i="1"/>
  <c r="O15" i="1"/>
  <c r="O11" i="1"/>
  <c r="O9" i="1"/>
  <c r="O5" i="1"/>
  <c r="C98" i="4" l="1"/>
  <c r="C99" i="4" s="1"/>
  <c r="C92" i="4"/>
  <c r="C108" i="4"/>
  <c r="C109" i="4" s="1"/>
  <c r="I11" i="4"/>
  <c r="W94" i="3"/>
  <c r="S80" i="3"/>
  <c r="W44" i="3"/>
  <c r="T73" i="3"/>
  <c r="U73" i="3" s="1"/>
  <c r="V73" i="3" s="1"/>
  <c r="W42" i="3"/>
  <c r="W22" i="3"/>
  <c r="W8" i="3"/>
  <c r="U7" i="3"/>
  <c r="U36" i="3" s="1"/>
  <c r="T7" i="3"/>
  <c r="T36" i="3" s="1"/>
  <c r="S7" i="3"/>
  <c r="S36" i="3" s="1"/>
  <c r="D20" i="3"/>
  <c r="O16" i="3"/>
  <c r="E8" i="3"/>
  <c r="BE43" i="1"/>
  <c r="BE22" i="1"/>
  <c r="AW14" i="1"/>
  <c r="BE12" i="1"/>
  <c r="BE42" i="1"/>
  <c r="AW25" i="1"/>
  <c r="BE41" i="1"/>
  <c r="BE28" i="1"/>
  <c r="BE44" i="1"/>
  <c r="BB47" i="1"/>
  <c r="BE10" i="1"/>
  <c r="BE25" i="1"/>
  <c r="BD4" i="1"/>
  <c r="BC15" i="1"/>
  <c r="BE46" i="1"/>
  <c r="BE37" i="1"/>
  <c r="BB31" i="1"/>
  <c r="BC21" i="1"/>
  <c r="BE29" i="1"/>
  <c r="BE23" i="1"/>
  <c r="BE38" i="1"/>
  <c r="BE11" i="1"/>
  <c r="BE6" i="1"/>
  <c r="BD36" i="1"/>
  <c r="BE36" i="1" s="1"/>
  <c r="BC47" i="1"/>
  <c r="BE13" i="1"/>
  <c r="AW9" i="1"/>
  <c r="AW44" i="1"/>
  <c r="AW37" i="1"/>
  <c r="AN39" i="1"/>
  <c r="AU47" i="1"/>
  <c r="AW29" i="1"/>
  <c r="AN11" i="1"/>
  <c r="AW28" i="1"/>
  <c r="AW6" i="1"/>
  <c r="AW41" i="1"/>
  <c r="AW23" i="1"/>
  <c r="AW27" i="1"/>
  <c r="AW22" i="1"/>
  <c r="AT31" i="1"/>
  <c r="AU21" i="1"/>
  <c r="AW12" i="1"/>
  <c r="AW46" i="1"/>
  <c r="AW26" i="1"/>
  <c r="AW42" i="1"/>
  <c r="AW38" i="1"/>
  <c r="AU4" i="1"/>
  <c r="AT15" i="1"/>
  <c r="AV47" i="1"/>
  <c r="AW13" i="1"/>
  <c r="AT47" i="1"/>
  <c r="AO14" i="1"/>
  <c r="AO47" i="1"/>
  <c r="AO44" i="1"/>
  <c r="AL50" i="1"/>
  <c r="AO49" i="1"/>
  <c r="AO48" i="1"/>
  <c r="AO46" i="1"/>
  <c r="AO41" i="1"/>
  <c r="AO40" i="1"/>
  <c r="AM50" i="1"/>
  <c r="AN38" i="1"/>
  <c r="AO39" i="1"/>
  <c r="AO13" i="1"/>
  <c r="AO11" i="1"/>
  <c r="AO5" i="1"/>
  <c r="AO15" i="1"/>
  <c r="AO10" i="1"/>
  <c r="AN4" i="1"/>
  <c r="AM16" i="1"/>
  <c r="AO4" i="1"/>
  <c r="AL16" i="1"/>
  <c r="AO6" i="1"/>
  <c r="AM21" i="1"/>
  <c r="AL33" i="1"/>
  <c r="V28" i="1"/>
  <c r="W25" i="1"/>
  <c r="X39" i="1"/>
  <c r="X42" i="1" s="1"/>
  <c r="X11" i="1"/>
  <c r="X14" i="1" s="1"/>
  <c r="E98" i="4" l="1"/>
  <c r="F98" i="4" s="1"/>
  <c r="F99" i="4" s="1"/>
  <c r="G90" i="4"/>
  <c r="G91" i="4" s="1"/>
  <c r="B105" i="4"/>
  <c r="C105" i="4" s="1"/>
  <c r="C102" i="4"/>
  <c r="S107" i="3"/>
  <c r="S108" i="3" s="1"/>
  <c r="T108" i="3" s="1"/>
  <c r="U108" i="3" s="1"/>
  <c r="V108" i="3" s="1"/>
  <c r="W80" i="3"/>
  <c r="W107" i="3" s="1"/>
  <c r="W72" i="3"/>
  <c r="W7" i="3"/>
  <c r="W36" i="3" s="1"/>
  <c r="S37" i="3"/>
  <c r="T37" i="3" s="1"/>
  <c r="U37" i="3" s="1"/>
  <c r="V37" i="3" s="1"/>
  <c r="F8" i="3"/>
  <c r="F7" i="3" s="1"/>
  <c r="F19" i="3" s="1"/>
  <c r="E7" i="3"/>
  <c r="AW47" i="1"/>
  <c r="BD47" i="1"/>
  <c r="BD21" i="1"/>
  <c r="BC31" i="1"/>
  <c r="BE21" i="1"/>
  <c r="BD15" i="1"/>
  <c r="BE15" i="1" s="1"/>
  <c r="BE4" i="1"/>
  <c r="AV21" i="1"/>
  <c r="AW21" i="1" s="1"/>
  <c r="AU31" i="1"/>
  <c r="AV4" i="1"/>
  <c r="AU15" i="1"/>
  <c r="AW4" i="1"/>
  <c r="AN50" i="1"/>
  <c r="AO50" i="1" s="1"/>
  <c r="AO38" i="1"/>
  <c r="AN16" i="1"/>
  <c r="AO16" i="1" s="1"/>
  <c r="AN21" i="1"/>
  <c r="AN33" i="1" s="1"/>
  <c r="AM33" i="1"/>
  <c r="W28" i="1"/>
  <c r="X25" i="1"/>
  <c r="Y39" i="1"/>
  <c r="Y42" i="1" s="1"/>
  <c r="Y11" i="1"/>
  <c r="Y14" i="1" s="1"/>
  <c r="F100" i="4" l="1"/>
  <c r="E102" i="4"/>
  <c r="E19" i="3"/>
  <c r="E20" i="3" s="1"/>
  <c r="F20" i="3" s="1"/>
  <c r="G8" i="3"/>
  <c r="BE47" i="1"/>
  <c r="BD31" i="1"/>
  <c r="BE31" i="1" s="1"/>
  <c r="AO21" i="1"/>
  <c r="AV15" i="1"/>
  <c r="AV31" i="1"/>
  <c r="AW31" i="1" s="1"/>
  <c r="AO33" i="1"/>
  <c r="X28" i="1"/>
  <c r="Y25" i="1"/>
  <c r="Z39" i="1"/>
  <c r="Z42" i="1" s="1"/>
  <c r="Z11" i="1"/>
  <c r="Z14" i="1" s="1"/>
  <c r="G7" i="3" l="1"/>
  <c r="H8" i="3"/>
  <c r="H7" i="3" s="1"/>
  <c r="H19" i="3" s="1"/>
  <c r="AW15" i="1"/>
  <c r="Y28" i="1"/>
  <c r="Z25" i="1"/>
  <c r="AA39" i="1"/>
  <c r="AA42" i="1" s="1"/>
  <c r="AA11" i="1"/>
  <c r="AA14" i="1" s="1"/>
  <c r="I8" i="3" l="1"/>
  <c r="I7" i="3" s="1"/>
  <c r="I19" i="3" s="1"/>
  <c r="G19" i="3"/>
  <c r="G20" i="3" s="1"/>
  <c r="H20" i="3" s="1"/>
  <c r="Z28" i="1"/>
  <c r="AA25" i="1"/>
  <c r="AB39" i="1"/>
  <c r="AB42" i="1" s="1"/>
  <c r="AB11" i="1"/>
  <c r="AB14" i="1" s="1"/>
  <c r="I20" i="3" l="1"/>
  <c r="J8" i="3"/>
  <c r="AA28" i="1"/>
  <c r="AB25" i="1"/>
  <c r="AC39" i="1"/>
  <c r="AC42" i="1" s="1"/>
  <c r="AC11" i="1"/>
  <c r="AC14" i="1" s="1"/>
  <c r="J7" i="3" l="1"/>
  <c r="K8" i="3"/>
  <c r="K7" i="3" s="1"/>
  <c r="K19" i="3" s="1"/>
  <c r="AB28" i="1"/>
  <c r="AC25" i="1"/>
  <c r="AD39" i="1"/>
  <c r="AD42" i="1" s="1"/>
  <c r="AD11" i="1"/>
  <c r="AD14" i="1" s="1"/>
  <c r="L8" i="3" l="1"/>
  <c r="L7" i="3" s="1"/>
  <c r="L19" i="3" s="1"/>
  <c r="J19" i="3"/>
  <c r="J20" i="3" s="1"/>
  <c r="AD25" i="1"/>
  <c r="AC28" i="1"/>
  <c r="AE39" i="1"/>
  <c r="AE11" i="1"/>
  <c r="K20" i="3" l="1"/>
  <c r="L20" i="3" s="1"/>
  <c r="M8" i="3"/>
  <c r="M7" i="3" s="1"/>
  <c r="AE14" i="1"/>
  <c r="AF14" i="1" s="1"/>
  <c r="AK9" i="1"/>
  <c r="AE42" i="1"/>
  <c r="AK43" i="1"/>
  <c r="AF11" i="1"/>
  <c r="AO29" i="1"/>
  <c r="AE25" i="1"/>
  <c r="AK26" i="1" s="1"/>
  <c r="AD28" i="1"/>
  <c r="AF42" i="1"/>
  <c r="AF39" i="1"/>
  <c r="M19" i="3" l="1"/>
  <c r="M20" i="3" s="1"/>
  <c r="N8" i="3"/>
  <c r="O15" i="3"/>
  <c r="AL43" i="1"/>
  <c r="AK51" i="1"/>
  <c r="AL9" i="1"/>
  <c r="AK17" i="1"/>
  <c r="AL26" i="1"/>
  <c r="AL34" i="1" s="1"/>
  <c r="AK34" i="1"/>
  <c r="AE28" i="1"/>
  <c r="AF28" i="1" s="1"/>
  <c r="AF25" i="1"/>
  <c r="N7" i="3" l="1"/>
  <c r="O8" i="3"/>
  <c r="AM43" i="1"/>
  <c r="AL51" i="1"/>
  <c r="AM9" i="1"/>
  <c r="AL17" i="1"/>
  <c r="AM26" i="1"/>
  <c r="AM34" i="1" s="1"/>
  <c r="N19" i="3" l="1"/>
  <c r="N20" i="3" s="1"/>
  <c r="O7" i="3"/>
  <c r="O19" i="3" s="1"/>
  <c r="AN9" i="1"/>
  <c r="AM17" i="1"/>
  <c r="AN43" i="1"/>
  <c r="AS40" i="1" s="1"/>
  <c r="AM51" i="1"/>
  <c r="AO9" i="1"/>
  <c r="AN26" i="1"/>
  <c r="AN34" i="1" l="1"/>
  <c r="AO34" i="1" s="1"/>
  <c r="AS24" i="1"/>
  <c r="AT40" i="1"/>
  <c r="AS48" i="1"/>
  <c r="AN17" i="1"/>
  <c r="AO17" i="1" s="1"/>
  <c r="AS8" i="1"/>
  <c r="AN51" i="1"/>
  <c r="AO51" i="1" s="1"/>
  <c r="AO43" i="1"/>
  <c r="AT24" i="1" l="1"/>
  <c r="AS32" i="1"/>
  <c r="AT8" i="1"/>
  <c r="AS16" i="1"/>
  <c r="AT48" i="1"/>
  <c r="AU40" i="1"/>
  <c r="AV40" i="1" l="1"/>
  <c r="AU48" i="1"/>
  <c r="AW40" i="1"/>
  <c r="AT16" i="1"/>
  <c r="AU8" i="1"/>
  <c r="AU24" i="1"/>
  <c r="AT32" i="1"/>
  <c r="AV24" i="1" l="1"/>
  <c r="AU32" i="1"/>
  <c r="AW24" i="1"/>
  <c r="AV8" i="1"/>
  <c r="AU16" i="1"/>
  <c r="AW8" i="1"/>
  <c r="BA40" i="1"/>
  <c r="AV48" i="1"/>
  <c r="AW48" i="1" s="1"/>
  <c r="BA24" i="1" l="1"/>
  <c r="AV32" i="1"/>
  <c r="AW32" i="1" s="1"/>
  <c r="BB40" i="1"/>
  <c r="BA48" i="1"/>
  <c r="BA8" i="1"/>
  <c r="AV16" i="1"/>
  <c r="AW16" i="1" s="1"/>
  <c r="BB8" i="1" l="1"/>
  <c r="BA16" i="1"/>
  <c r="BC40" i="1"/>
  <c r="BB48" i="1"/>
  <c r="BB24" i="1"/>
  <c r="BA32" i="1"/>
  <c r="BC24" i="1" l="1"/>
  <c r="BB32" i="1"/>
  <c r="BD40" i="1"/>
  <c r="BD48" i="1" s="1"/>
  <c r="BC48" i="1"/>
  <c r="BE40" i="1"/>
  <c r="BC8" i="1"/>
  <c r="BB16" i="1"/>
  <c r="BD8" i="1" l="1"/>
  <c r="BD16" i="1" s="1"/>
  <c r="BC16" i="1"/>
  <c r="BE48" i="1"/>
  <c r="BD24" i="1"/>
  <c r="BD32" i="1" s="1"/>
  <c r="BC32" i="1"/>
  <c r="BE24" i="1"/>
  <c r="BE8" i="1" l="1"/>
  <c r="BE32" i="1"/>
  <c r="BE16" i="1"/>
  <c r="AO26" i="1"/>
</calcChain>
</file>

<file path=xl/sharedStrings.xml><?xml version="1.0" encoding="utf-8"?>
<sst xmlns="http://schemas.openxmlformats.org/spreadsheetml/2006/main" count="1042" uniqueCount="247">
  <si>
    <t>№</t>
  </si>
  <si>
    <t>Источники финансирования</t>
  </si>
  <si>
    <t>1 месяц, руб.</t>
  </si>
  <si>
    <t>2 месяц, руб.</t>
  </si>
  <si>
    <t>3 месяц, руб.</t>
  </si>
  <si>
    <t>4 месяц, руб.</t>
  </si>
  <si>
    <t>5 месяц, руб.</t>
  </si>
  <si>
    <t>6 месяц, руб.</t>
  </si>
  <si>
    <t>7 месяц, руб.</t>
  </si>
  <si>
    <t>8 месяц, руб.</t>
  </si>
  <si>
    <t>9 месяц, руб.</t>
  </si>
  <si>
    <t>10 месяц, руб.</t>
  </si>
  <si>
    <t>11 месяц, руб.</t>
  </si>
  <si>
    <t>12 месяц, руб.</t>
  </si>
  <si>
    <t>Итого</t>
  </si>
  <si>
    <t>Частный инвестор</t>
  </si>
  <si>
    <t>ПЕССИМИСТИЧНЫЙ СЦЕНАРИЙ</t>
  </si>
  <si>
    <t>РЕАЛИСТИЧНЫЙ СЦЕНАРИЙ</t>
  </si>
  <si>
    <t>ОПТИМИСТИЧНЫЙ СЦЕНАРИЙ</t>
  </si>
  <si>
    <t xml:space="preserve">ПЕРВОНАЧАЛЬНЫЕ ЗАТРАТЫ </t>
  </si>
  <si>
    <t>Расходы</t>
  </si>
  <si>
    <t>Разработка учредительных документов</t>
  </si>
  <si>
    <t>Заработная плата бизнес-аналитика</t>
  </si>
  <si>
    <t>Покупка оборудования</t>
  </si>
  <si>
    <t>Оплата интернет и связи</t>
  </si>
  <si>
    <t>Регистрация ООО</t>
  </si>
  <si>
    <t>Открытие и обслуживание расчётного счёта</t>
  </si>
  <si>
    <t>Заработная плата руководителя проекта и разработчика</t>
  </si>
  <si>
    <t>Услуги бухгалтера и юриста</t>
  </si>
  <si>
    <t>Амортизация и техническая поддержка оборудования</t>
  </si>
  <si>
    <t>Облачная инфраструктура и лицензии (серверы, репозитории, инструменты)</t>
  </si>
  <si>
    <t>Первоначальные затраты, 1-й год</t>
  </si>
  <si>
    <t xml:space="preserve">ПОСТОЯННЫЕ ЗАТРАТЫ </t>
  </si>
  <si>
    <t>Средства из фонда/гранты</t>
  </si>
  <si>
    <t>Дополнительная покупка оборудования</t>
  </si>
  <si>
    <t>Обслуживание банковского счета</t>
  </si>
  <si>
    <t>Участие в конференциях и отраслевых мероприятиях</t>
  </si>
  <si>
    <t>Контент, PR и digital-продвижение (кейсы, статьи, вебинары)</t>
  </si>
  <si>
    <t>Хостинг сайта, домен, корпоративная почта, CRM</t>
  </si>
  <si>
    <t>Налоги и страховые взносы</t>
  </si>
  <si>
    <t>1 квартал, руб.</t>
  </si>
  <si>
    <t>2 квартал, руб.</t>
  </si>
  <si>
    <t>3 квартал, руб.</t>
  </si>
  <si>
    <t>4 квартал, руб.</t>
  </si>
  <si>
    <t>Встречи с заказчиками (демо, пилоты)</t>
  </si>
  <si>
    <t>Постоянные затраты, 2-й год</t>
  </si>
  <si>
    <t>Постоянные затраты, 3-й год</t>
  </si>
  <si>
    <t>Постоянные затраты, 4-й год</t>
  </si>
  <si>
    <t>Итого за год, руб.</t>
  </si>
  <si>
    <t>Почтовые и курьерские расходы</t>
  </si>
  <si>
    <t>Непредвиденные расходы</t>
  </si>
  <si>
    <t>Итог, руб.</t>
  </si>
  <si>
    <t xml:space="preserve">ПЕРЕМЕННЫЕ ЗАТРАТЫ </t>
  </si>
  <si>
    <t>Комиссии платёжных систем</t>
  </si>
  <si>
    <t>Установка и внедрение ПО (заказы)</t>
  </si>
  <si>
    <t>Техническая поддержка клиентов</t>
  </si>
  <si>
    <t>Сертификация ФСТЭК / включение в реестр ПО</t>
  </si>
  <si>
    <t>Внешний дизайн и вёрстка (UI/маркетинг)</t>
  </si>
  <si>
    <t>Расширенный SLA (дежурства, on-call)</t>
  </si>
  <si>
    <t>Рекламные расходы</t>
  </si>
  <si>
    <t>Агентские комиссии и бонусы продавцам</t>
  </si>
  <si>
    <t>Промо-материалы, печать</t>
  </si>
  <si>
    <t>Оплата API и сторонних сервисов</t>
  </si>
  <si>
    <t>Дополнительная облачная инфраструктура</t>
  </si>
  <si>
    <t>Переменные затраты, 2-й год            РЕАЛИСТИЧНЫЙ СЦЕНАРИЙ</t>
  </si>
  <si>
    <t>Переменные затраты, 3-й год            РЕАЛИСТИЧНЫЙ СЦЕНАРИЙ</t>
  </si>
  <si>
    <t>Переменные затраты, 4-й год            РЕАЛИСТИЧНЫЙ СЦЕНАРИЙ</t>
  </si>
  <si>
    <t>Сопровождение сертификации</t>
  </si>
  <si>
    <r>
      <t>Цель:</t>
    </r>
    <r>
      <rPr>
        <sz val="11"/>
        <color theme="1"/>
        <rFont val="Calibri"/>
        <family val="2"/>
        <charset val="204"/>
        <scheme val="minor"/>
      </rPr>
      <t xml:space="preserve"> пилоты в портах, небольшие сегменты КИИ, ИТ-контуры до 100 хостов.</t>
    </r>
  </si>
  <si>
    <r>
      <t xml:space="preserve">До </t>
    </r>
    <r>
      <rPr>
        <b/>
        <sz val="11"/>
        <color theme="1"/>
        <rFont val="Calibri"/>
        <family val="2"/>
        <charset val="204"/>
        <scheme val="minor"/>
      </rPr>
      <t>100 хостов</t>
    </r>
  </si>
  <si>
    <t>1 сканирующий узел</t>
  </si>
  <si>
    <t>1 администратор + 3 «читателя» отчётов</t>
  </si>
  <si>
    <t>Базовые отчёты под ФСТЭК/ФСБ (шаблоны)</t>
  </si>
  <si>
    <t>Обновления базы уязвимостей 1 раз в сутки</t>
  </si>
  <si>
    <t>Поддержка: 8×5, отклик до 1 раб. дня (e-mail, тикеты)</t>
  </si>
  <si>
    <t>Ориентировочная цена:</t>
  </si>
  <si>
    <r>
      <t xml:space="preserve">12 месяцев: </t>
    </r>
    <r>
      <rPr>
        <b/>
        <sz val="11"/>
        <color theme="1"/>
        <rFont val="Calibri"/>
        <family val="2"/>
        <charset val="204"/>
        <scheme val="minor"/>
      </rPr>
      <t>~420 000 ₽ / год</t>
    </r>
  </si>
  <si>
    <t>Arctic Scanner Starter (малые внедрения)</t>
  </si>
  <si>
    <t>Arctic Scanner Standard</t>
  </si>
  <si>
    <r>
      <t>Цель:</t>
    </r>
    <r>
      <rPr>
        <sz val="11"/>
        <color theme="1"/>
        <rFont val="Calibri"/>
        <family val="2"/>
        <charset val="204"/>
        <scheme val="minor"/>
      </rPr>
      <t xml:space="preserve"> типовой порт, логистический терминал, ОТ/офисный контур 100–500 хостов.</t>
    </r>
  </si>
  <si>
    <r>
      <t xml:space="preserve">До </t>
    </r>
    <r>
      <rPr>
        <b/>
        <sz val="11"/>
        <color theme="1"/>
        <rFont val="Calibri"/>
        <family val="2"/>
        <charset val="204"/>
        <scheme val="minor"/>
      </rPr>
      <t>500 хостов</t>
    </r>
  </si>
  <si>
    <t>До 2 сканирующих узлов</t>
  </si>
  <si>
    <t>Неограниченно «читателей», до 5 администраторов</t>
  </si>
  <si>
    <t>Расширенные отчёты: инвентаризация, динамика устранения, экспорт в XLSX/JSON</t>
  </si>
  <si>
    <t>Интеграция по REST API (один коннектор «из коробки»: SIEM или CMDB)</t>
  </si>
  <si>
    <t>Обновления базы уязвимостей в режиме near real-time</t>
  </si>
  <si>
    <t>Поддержка: 8×5, отклик до 4 часов, консультации по настройке</t>
  </si>
  <si>
    <r>
      <t>~900 000 ₽ / год</t>
    </r>
    <r>
      <rPr>
        <sz val="11"/>
        <color theme="1"/>
        <rFont val="Calibri"/>
        <family val="2"/>
        <charset val="204"/>
        <scheme val="minor"/>
      </rPr>
      <t xml:space="preserve"> (≈ 1,8k ₽/хост/год)</t>
    </r>
  </si>
  <si>
    <t>Arctic Scanner Enterprise (КИИ / крупные порты и нефтегаз)</t>
  </si>
  <si>
    <r>
      <t>Цель:</t>
    </r>
    <r>
      <rPr>
        <sz val="11"/>
        <color theme="1"/>
        <rFont val="Calibri"/>
        <family val="2"/>
        <charset val="204"/>
        <scheme val="minor"/>
      </rPr>
      <t xml:space="preserve"> крупные инфраструктурные заказчики: несколько сегментов сети, сотни–тысячи хостов.</t>
    </r>
  </si>
  <si>
    <t>Неограниченное количество сканирующих узлов</t>
  </si>
  <si>
    <t>Разделение по сегментам и ролям (IB, ИТ, аудиторы, подрядчики)</t>
  </si>
  <si>
    <t>Шаблоны отчётности под внутренний контроль, аудит и регуляторов (ФСТЭК/ФСБ), кастомные отчёты</t>
  </si>
  <si>
    <t>Интеграции: 2–3 коннектора (SIEM, ServiceDesk, CMDB / ITAM)</t>
  </si>
  <si>
    <t>Поддержка: расширенный SLA 12×5 или 24×7 (как отдельная надбавка)</t>
  </si>
  <si>
    <t>Планирование сканирования по окнам обслуживания / сменам</t>
  </si>
  <si>
    <t>2,5 млн ₽ / год</t>
  </si>
  <si>
    <t>Товар (услуга)</t>
  </si>
  <si>
    <t>Итого за год</t>
  </si>
  <si>
    <t>1 кв.</t>
  </si>
  <si>
    <t>2 кв.</t>
  </si>
  <si>
    <t>3 кв.</t>
  </si>
  <si>
    <t>4 кв.</t>
  </si>
  <si>
    <t>Прогноз продаж на 2-й год, единиц</t>
  </si>
  <si>
    <t>Прогноз продаж на 3-й год, единиц</t>
  </si>
  <si>
    <t>Прогноз продаж на 4-й год, единиц</t>
  </si>
  <si>
    <t xml:space="preserve">Arctic Scanner Starter </t>
  </si>
  <si>
    <t>Arctic Scanner Enterprise</t>
  </si>
  <si>
    <r>
      <t xml:space="preserve">До </t>
    </r>
    <r>
      <rPr>
        <b/>
        <sz val="11"/>
        <color theme="1"/>
        <rFont val="Calibri"/>
        <family val="2"/>
        <charset val="204"/>
        <scheme val="minor"/>
      </rPr>
      <t>2000 хостов</t>
    </r>
  </si>
  <si>
    <t>Доп. Пакеты по 500 хостов</t>
  </si>
  <si>
    <t>Прогноз продаж на 2-й год, тыс. руб.</t>
  </si>
  <si>
    <t>Прогноз продаж на 3-й год, тыс. руб.</t>
  </si>
  <si>
    <t>Прогноз продаж на 4-й год, тыс. руб.</t>
  </si>
  <si>
    <t>Цена за единицу,руб.</t>
  </si>
  <si>
    <t>Объём реализации, ед.</t>
  </si>
  <si>
    <t>Выручка, тыс. руб.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</si>
  <si>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</si>
  <si>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</si>
  <si>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</si>
  <si>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</si>
  <si>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</si>
  <si>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</si>
  <si>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</si>
  <si>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</si>
  <si>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</si>
  <si>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</si>
  <si>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</si>
  <si>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</si>
  <si>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r>
      <t xml:space="preserve">Доп. пакеты по 500 хостов: </t>
    </r>
    <r>
      <rPr>
        <b/>
        <sz val="11"/>
        <color theme="1"/>
        <rFont val="Calibri"/>
        <family val="2"/>
        <charset val="204"/>
        <scheme val="minor"/>
      </rPr>
      <t>~250 000 ₽ / год</t>
    </r>
    <r>
      <rPr>
        <sz val="11"/>
        <color theme="1"/>
        <rFont val="Calibri"/>
        <family val="2"/>
        <charset val="204"/>
        <scheme val="minor"/>
      </rPr>
      <t>.</t>
    </r>
  </si>
  <si>
    <t>Финансовый план - 1 год реализации проекта, тыс. руб.</t>
  </si>
  <si>
    <t>Показатель</t>
  </si>
  <si>
    <t>2025-2026 год</t>
  </si>
  <si>
    <t>1 мес.</t>
  </si>
  <si>
    <t>2 мес.</t>
  </si>
  <si>
    <t>3 мес.</t>
  </si>
  <si>
    <t>4 мес.</t>
  </si>
  <si>
    <t>5 мес.</t>
  </si>
  <si>
    <t>6 мес.</t>
  </si>
  <si>
    <t>7 мес.</t>
  </si>
  <si>
    <t>8 мес.</t>
  </si>
  <si>
    <t>9 мес.</t>
  </si>
  <si>
    <t>10 мес.</t>
  </si>
  <si>
    <t>11 мес.</t>
  </si>
  <si>
    <t>12 мес.</t>
  </si>
  <si>
    <t>Поступления</t>
  </si>
  <si>
    <t>1.1</t>
  </si>
  <si>
    <t>1.2</t>
  </si>
  <si>
    <t>Платежи</t>
  </si>
  <si>
    <t>2.1</t>
  </si>
  <si>
    <t>Первоначальные затраты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</si>
  <si>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</si>
  <si>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</si>
  <si>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</si>
  <si>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</si>
  <si>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</si>
  <si>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</si>
  <si>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</si>
  <si>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</si>
  <si>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</si>
  <si>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</si>
  <si>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</si>
  <si>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3</t>
  </si>
  <si>
    <t>Поступления - платежи</t>
  </si>
  <si>
    <t>4</t>
  </si>
  <si>
    <t>Поступления - платежи с нарастающим итогом</t>
  </si>
  <si>
    <t>Х</t>
  </si>
  <si>
    <t>Источники средств на начало реализации проекта, руб</t>
  </si>
  <si>
    <t>Финансовый план - 2 год реализации проекта, тыс. руб.</t>
  </si>
  <si>
    <t>2026-2027 год</t>
  </si>
  <si>
    <t>Поступления от реализации</t>
  </si>
  <si>
    <t>Постоянные затраты</t>
  </si>
  <si>
    <t>2.1.12</t>
  </si>
  <si>
    <t>2.1.13</t>
  </si>
  <si>
    <t>2.2</t>
  </si>
  <si>
    <t>Переменные затраты</t>
  </si>
  <si>
    <t>Финансовый план - 3 год реализации проекта, тыс. руб.</t>
  </si>
  <si>
    <t>Финансовый план - 4 год реализации проекта, тыс. руб.</t>
  </si>
  <si>
    <t>Показатели</t>
  </si>
  <si>
    <t>2025-2026</t>
  </si>
  <si>
    <t>2026-2027</t>
  </si>
  <si>
    <t>2027-2028</t>
  </si>
  <si>
    <t>2028-2029</t>
  </si>
  <si>
    <t>Выручка (поступления от реализации)</t>
  </si>
  <si>
    <t>Себестоимость (затраты)</t>
  </si>
  <si>
    <t>Прибыль/убыток</t>
  </si>
  <si>
    <t>Чистая прибыль</t>
  </si>
  <si>
    <t>Ставка дисконтирования, %</t>
  </si>
  <si>
    <t>IRR на 31.12.xx, %</t>
  </si>
  <si>
    <t>Срок окупаемости (номинальный), лет</t>
  </si>
  <si>
    <t>Срок окупаемости (дисконтированный), лет</t>
  </si>
  <si>
    <t>NPV, руб.</t>
  </si>
  <si>
    <t>PI, %</t>
  </si>
  <si>
    <t>ARR, %</t>
  </si>
  <si>
    <t>IRR, %</t>
  </si>
  <si>
    <t>EVA, руб.</t>
  </si>
  <si>
    <t>ROI, %</t>
  </si>
  <si>
    <t>Значение</t>
  </si>
  <si>
    <t>Налог на прибыль (УСН 3%)</t>
  </si>
  <si>
    <t>Расчеты:</t>
  </si>
  <si>
    <t>Дисконтированные денежные потоки, инвестиции = 3 млн</t>
  </si>
  <si>
    <t>Срок окупаемости, лет</t>
  </si>
  <si>
    <t>Год</t>
  </si>
  <si>
    <t>Номинальный</t>
  </si>
  <si>
    <t>Дисконтированный</t>
  </si>
  <si>
    <t>Итого:</t>
  </si>
  <si>
    <t>PV</t>
  </si>
  <si>
    <t>PI</t>
  </si>
  <si>
    <t>Среднегодовая прибыль</t>
  </si>
  <si>
    <t>Точка безубыточности построена на 2 года после выхода на рынок</t>
  </si>
  <si>
    <t>≈ 13,5 проданных лицензий и выручка ≈ 10,8 млн ₽</t>
  </si>
  <si>
    <t>Матрица рисков</t>
  </si>
  <si>
    <t>1. Незначительное</t>
  </si>
  <si>
    <t>2. Малое</t>
  </si>
  <si>
    <t>3. Среднее</t>
  </si>
  <si>
    <t>4. Серьёзное</t>
  </si>
  <si>
    <t>5. Критическое</t>
  </si>
  <si>
    <t>1. Редко</t>
  </si>
  <si>
    <t>2. Маловероятно</t>
  </si>
  <si>
    <t>3. Возможно</t>
  </si>
  <si>
    <t>4. Вероятно</t>
  </si>
  <si>
    <t>5. Почти неизбежно</t>
  </si>
  <si>
    <t>Мелкие баги UI в веб-интерфейсе, не влияющие на результаты сканирования. Некорректная формулировка пары полей в отчёте под ФСТЭК, исправляется без перерасчёта отчётов.</t>
  </si>
  <si>
    <t xml:space="preserve"> Небольшая задержка в публикации статьи/кейса, не влияющая на лидогенерацию. Отмена участия в одной нишевой конференции по внешним причинам.</t>
  </si>
  <si>
    <t xml:space="preserve"> Разовый рост стоимости «железа» для собственной инфраструктуры на 5–7%, без пересмотра ценников клиентам. Однократная проверка регулятора без претензий, требующая отвлечения команды на подготовку документов.</t>
  </si>
  <si>
    <t xml:space="preserve"> Кратковременная уязвимость в сторонней библиотеке, которую удаётся закрыть до её эксплуатации злоумышленниками. Потеря одного среднего клиента из-за их внутреннего бюджетного урезания.</t>
  </si>
  <si>
    <t xml:space="preserve"> Внезапное изменение требований ФСТЭК, требующее серьёзного пересертифицирования, но с переходным периодом. Региональный форс-мажор (санкции/политика), ограничивающий работу в одном из целевых регионов.</t>
  </si>
  <si>
    <t xml:space="preserve"> Единичные негативные отзывы о неудобстве формата отчёта без потери клиентов. Случайное некорректное отображение рус/англ локализации в части интерфейса.</t>
  </si>
  <si>
    <t xml:space="preserve"> Недооценка ежемесячного счёта за облако на 5–10%. Срыв сроков по одному пилоту на 2–3 недели из-за задержки со стороны клиента.</t>
  </si>
  <si>
    <t xml:space="preserve"> Перенос подписания одного договора на следующий квартал из-за смены руководства у заказчика. Уход одного инженера по поддержке при устойчивой остальной команде.</t>
  </si>
  <si>
    <t xml:space="preserve"> Проигрыш крупного тендера из-за цены при сохранении хороших технических оценок. Срыв релиза крупного функционала для Enterprise на 2–3 месяца.</t>
  </si>
  <si>
    <t xml:space="preserve"> Массовый технический сбой в дата-центре провайдера, приводящий к длительному (сутки-двое) простую облачной части сервиса. Выход на рынок сильного западного/гос-конкурента с агрессивным демпингом.</t>
  </si>
  <si>
    <t xml:space="preserve"> Регулярные мелкие запросы кастомизации отчётов от отдельных клиентов. Небольшие пики нагрузки на инфраструктуру при больших сканах, не влияющие на SLA.</t>
  </si>
  <si>
    <t xml:space="preserve"> Отказ одного пилотного клиента от продолжения после теста без негативных отзывов по продукту. Перерасход небольшого маркетингового бюджета на неокупившуюся рекламную кампанию.</t>
  </si>
  <si>
    <t xml:space="preserve"> Скорость наполнения воронки продаж ниже плана (меньше горячих лидов в сегменте КИИ/портов). Недооценка трудозатрат на расширенный SLA (дежурства on-call) для нескольких клиентов.</t>
  </si>
  <si>
    <t xml:space="preserve"> Выполнение плана выручки на 70–80% из-за смещения сделок вправо. Неуспешная первая попытка сертификации/включения в реестр ПО, требующая доработок и повторной подачи.</t>
  </si>
  <si>
    <t xml:space="preserve"> Резкое ужесточение регулирования КИИ, ограничивающее закупки новых решений на 1–2 года. Уход одного из ключевых основателей/архитектора без заранее подготовленной замены.</t>
  </si>
  <si>
    <t xml:space="preserve"> Регулярная необходимость небольших переработок интерфейса под обратную связь пилотных заказчиков. Мелкие просадки производительности сканера на экзотических конфигурациях.</t>
  </si>
  <si>
    <t xml:space="preserve"> Уход одного сильного продавца и падение конверсии в тендерах на несколько месяцев. Повторяющиеся переносы 2–3 крупных сделок из-за длительных согласований ИБ-служб.</t>
  </si>
  <si>
    <t xml:space="preserve"> Отказ 2–3 крупных клиентов от продления из-за оптимизации их бюджетов или смены приоритетов. Существенные замечания по безопасности от независимого аудита, требующие масштабного рефакторинга.</t>
  </si>
  <si>
    <t xml:space="preserve"> Постоянный поток мелких запросов в поддержку (вопросы по отчётам, настройкам), увеличивающий операционную нагрузку, но без серьёзных последствий. Контекст-switch команды из-за параллельных пилотов и presale-активностей.</t>
  </si>
  <si>
    <t xml:space="preserve"> Рост ожиданий по зарплатам у разработчиков и ИБ-специалистов, необходимость ежегодно индексировать ФОТ. Постоянная корректировка roadmap под требования крупных клиентов, уменьшающая фокус на продуктовой стратегии.</t>
  </si>
  <si>
    <t xml:space="preserve"> Жёсткая конкуренция в тендерах с крупными вендорами (Positive, Ростелеком, Лаборатория Касперского и т.п.), что снижает долю выигранных проектов. Макроэкономическая нестабильность (курсы, санкции), усложняющая долгосрочное планирование цен и затрат.</t>
  </si>
  <si>
    <t xml:space="preserve"> Планомерный рост стоимости облачной инфраструктуры по мере подключения новых заказчиков (давление на маржу). Систематический сдвиг подписания контрактов на 1 квартал из-за бюрократии.</t>
  </si>
  <si>
    <t xml:space="preserve"> Регулярное давление заказчиков на скидки и спецусловия, слегка уменьшающее плановую маржу. Частые задержки оплаты по контрактам на 30–60 дней.</t>
  </si>
  <si>
    <t>При масштабировании без корректировки ценовой политики и модели поддержки возможно значимое снижение маржинальности (рост доли затрат на поддержку и скидки).</t>
  </si>
  <si>
    <t xml:space="preserve"> Инцидент информационной безопасности у клиента, где в информпространстве частично связывают проблему с нашим продуктом (даже при ошибке настройки на стороне заказчика). Высокая зависимость проекта от ограниченного круга источников финансирования (один инвестор/группа компаний), что при изменении их приоритетов может привести к снижению доступного бюджета.</t>
  </si>
  <si>
    <t>Вероятность \ Влияние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</si>
</sst>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8" formatCode="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8"/>
      <name val="Calibri"/>
      <family val="2"/>
      <charset val="204"/>
      <scheme val="minor"/>
    </font>
    <font>
      <b/>
      <sz val="13.5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4" fontId="0" fillId="0" borderId="1" xfId="0" applyNumberFormat="1" applyBorder="1" applyAlignment="1">
      <alignment horizontal="center" vertical="top"/>
    </xf>
    <xf numFmtId="4" fontId="0" fillId="0" borderId="1" xfId="0" applyNumberFormat="1" applyFill="1" applyBorder="1" applyAlignment="1">
      <alignment horizontal="center" vertical="top" wrapText="1"/>
    </xf>
    <xf numFmtId="0" fontId="0" fillId="0" borderId="5" xfId="0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4" fontId="2" fillId="0" borderId="1" xfId="0" applyNumberFormat="1" applyFont="1" applyBorder="1" applyAlignment="1">
      <alignment horizontal="center" vertical="top"/>
    </xf>
    <xf numFmtId="0" fontId="3" fillId="2" borderId="0" xfId="0" applyFont="1" applyFill="1"/>
    <xf numFmtId="0" fontId="0" fillId="2" borderId="0" xfId="0" applyFill="1"/>
    <xf numFmtId="0" fontId="0" fillId="0" borderId="1" xfId="0" applyBorder="1"/>
    <xf numFmtId="2" fontId="1" fillId="0" borderId="1" xfId="1" applyNumberFormat="1" applyFont="1" applyBorder="1" applyAlignment="1">
      <alignment horizontal="center" vertical="center" wrapText="1"/>
    </xf>
    <xf numFmtId="2" fontId="1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2" xfId="0" applyBorder="1" applyAlignment="1">
      <alignment horizontal="right" vertical="top" wrapText="1"/>
    </xf>
    <xf numFmtId="0" fontId="0" fillId="0" borderId="3" xfId="0" applyBorder="1" applyAlignment="1">
      <alignment horizontal="right" vertical="top" wrapText="1"/>
    </xf>
    <xf numFmtId="0" fontId="2" fillId="0" borderId="0" xfId="0" applyFont="1" applyAlignment="1">
      <alignment horizontal="right"/>
    </xf>
    <xf numFmtId="4" fontId="0" fillId="0" borderId="1" xfId="0" applyNumberForma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top" wrapText="1"/>
    </xf>
    <xf numFmtId="1" fontId="0" fillId="0" borderId="1" xfId="0" applyNumberForma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Fill="1" applyBorder="1" applyAlignment="1">
      <alignment horizontal="center" vertical="top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6" xfId="0" applyFill="1" applyBorder="1" applyAlignment="1">
      <alignment horizontal="center" vertical="top"/>
    </xf>
    <xf numFmtId="0" fontId="0" fillId="0" borderId="1" xfId="0" applyFill="1" applyBorder="1" applyAlignment="1">
      <alignment horizontal="center"/>
    </xf>
    <xf numFmtId="0" fontId="0" fillId="0" borderId="7" xfId="0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/>
    <xf numFmtId="4" fontId="2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4" fontId="0" fillId="0" borderId="1" xfId="0" applyNumberForma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  <xf numFmtId="4" fontId="0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8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49" fontId="0" fillId="0" borderId="0" xfId="0" applyNumberFormat="1"/>
    <xf numFmtId="0" fontId="0" fillId="0" borderId="0" xfId="0" applyFill="1" applyAlignment="1">
      <alignment horizontal="left" vertical="top"/>
    </xf>
    <xf numFmtId="49" fontId="0" fillId="0" borderId="8" xfId="0" applyNumberFormat="1" applyFill="1" applyBorder="1" applyAlignment="1">
      <alignment horizontal="center" wrapText="1"/>
    </xf>
    <xf numFmtId="49" fontId="0" fillId="0" borderId="0" xfId="0" applyNumberFormat="1" applyFill="1" applyAlignment="1">
      <alignment horizontal="left" vertical="top" wrapText="1"/>
    </xf>
    <xf numFmtId="49" fontId="0" fillId="0" borderId="0" xfId="0" applyNumberFormat="1" applyFill="1" applyAlignment="1">
      <alignment vertical="top" wrapText="1"/>
    </xf>
    <xf numFmtId="0" fontId="0" fillId="0" borderId="1" xfId="0" applyFill="1" applyBorder="1" applyAlignment="1">
      <alignment vertical="top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vertical="top"/>
    </xf>
    <xf numFmtId="2" fontId="0" fillId="0" borderId="2" xfId="0" applyNumberFormat="1" applyFill="1" applyBorder="1" applyAlignment="1">
      <alignment horizontal="center" vertical="center"/>
    </xf>
    <xf numFmtId="2" fontId="0" fillId="0" borderId="3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/>
    <xf numFmtId="2" fontId="0" fillId="0" borderId="2" xfId="0" applyNumberFormat="1" applyFill="1" applyBorder="1" applyAlignment="1">
      <alignment horizontal="center"/>
    </xf>
    <xf numFmtId="2" fontId="0" fillId="0" borderId="3" xfId="0" applyNumberFormat="1" applyFill="1" applyBorder="1" applyAlignment="1">
      <alignment horizontal="center"/>
    </xf>
    <xf numFmtId="0" fontId="0" fillId="0" borderId="1" xfId="0" applyNumberFormat="1" applyFill="1" applyBorder="1"/>
    <xf numFmtId="168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wrapText="1"/>
    </xf>
    <xf numFmtId="9" fontId="0" fillId="0" borderId="0" xfId="0" applyNumberForma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168" fontId="0" fillId="0" borderId="0" xfId="0" applyNumberForma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76201</xdr:rowOff>
    </xdr:from>
    <xdr:to>
      <xdr:col>7</xdr:col>
      <xdr:colOff>495301</xdr:colOff>
      <xdr:row>38</xdr:row>
      <xdr:rowOff>175260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9F49C8B-361C-41F9-9F4A-6D5EEFEEF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37115"/>
          <a:ext cx="6580415" cy="4725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468086</xdr:colOff>
      <xdr:row>13</xdr:row>
      <xdr:rowOff>54428</xdr:rowOff>
    </xdr:from>
    <xdr:to>
      <xdr:col>15</xdr:col>
      <xdr:colOff>361855</xdr:colOff>
      <xdr:row>38</xdr:row>
      <xdr:rowOff>159251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53C000C5-4C27-47FB-8246-074E5E311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3015342"/>
          <a:ext cx="6588484" cy="47312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54428</xdr:rowOff>
    </xdr:from>
    <xdr:to>
      <xdr:col>15</xdr:col>
      <xdr:colOff>527057</xdr:colOff>
      <xdr:row>9</xdr:row>
      <xdr:rowOff>13360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968F173-71EE-41D9-A300-149FBE35A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5428"/>
          <a:ext cx="9671057" cy="66892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F1A05-2B72-4090-8ECC-F023877D9C65}">
  <dimension ref="A1:BE104"/>
  <sheetViews>
    <sheetView topLeftCell="AG66" zoomScale="85" zoomScaleNormal="85" workbookViewId="0">
      <selection activeCell="AW32" sqref="AW32"/>
    </sheetView>
  </sheetViews>
  <sheetFormatPr defaultRowHeight="14.4" x14ac:dyDescent="0.3"/>
  <cols>
    <col min="2" max="2" width="34.77734375" customWidth="1"/>
    <col min="3" max="15" width="13.77734375" customWidth="1"/>
    <col min="19" max="19" width="40.21875" customWidth="1"/>
    <col min="20" max="32" width="12.77734375" customWidth="1"/>
    <col min="36" max="36" width="35.5546875" customWidth="1"/>
    <col min="37" max="37" width="13.109375" customWidth="1"/>
    <col min="38" max="42" width="12.77734375" customWidth="1"/>
    <col min="43" max="43" width="7.88671875" customWidth="1"/>
    <col min="44" max="44" width="49.6640625" customWidth="1"/>
    <col min="45" max="49" width="12.77734375" customWidth="1"/>
    <col min="52" max="52" width="40.88671875" customWidth="1"/>
    <col min="53" max="57" width="12.77734375" customWidth="1"/>
  </cols>
  <sheetData>
    <row r="1" spans="1:57" ht="18" x14ac:dyDescent="0.35">
      <c r="A1" s="1" t="s">
        <v>166</v>
      </c>
      <c r="I1" s="1" t="s">
        <v>16</v>
      </c>
      <c r="R1" s="18" t="s">
        <v>19</v>
      </c>
      <c r="S1" s="19"/>
      <c r="AI1" s="18" t="s">
        <v>32</v>
      </c>
      <c r="AJ1" s="19"/>
    </row>
    <row r="2" spans="1:57" ht="28.8" x14ac:dyDescent="0.3">
      <c r="A2" s="2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4" t="s">
        <v>14</v>
      </c>
      <c r="R2" s="1" t="s">
        <v>31</v>
      </c>
      <c r="Z2" s="1" t="s">
        <v>16</v>
      </c>
      <c r="AI2" s="1" t="s">
        <v>45</v>
      </c>
      <c r="AL2" s="1" t="s">
        <v>16</v>
      </c>
      <c r="AQ2" s="1" t="s">
        <v>46</v>
      </c>
      <c r="AT2" s="1" t="s">
        <v>16</v>
      </c>
      <c r="AY2" s="1" t="s">
        <v>47</v>
      </c>
      <c r="BB2" s="1" t="s">
        <v>16</v>
      </c>
    </row>
    <row r="3" spans="1:57" ht="28.8" x14ac:dyDescent="0.3">
      <c r="A3" s="2">
        <v>1</v>
      </c>
      <c r="B3" s="5" t="s">
        <v>33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2000000</v>
      </c>
      <c r="L3" s="7">
        <v>0</v>
      </c>
      <c r="M3" s="7">
        <v>0</v>
      </c>
      <c r="N3" s="7">
        <v>0</v>
      </c>
      <c r="O3" s="6">
        <f>SUM(C3:N3)</f>
        <v>2000000</v>
      </c>
      <c r="R3" s="3" t="s">
        <v>0</v>
      </c>
      <c r="S3" s="3" t="s">
        <v>20</v>
      </c>
      <c r="T3" s="3" t="s">
        <v>2</v>
      </c>
      <c r="U3" s="3" t="s">
        <v>3</v>
      </c>
      <c r="V3" s="3" t="s">
        <v>4</v>
      </c>
      <c r="W3" s="3" t="s">
        <v>5</v>
      </c>
      <c r="X3" s="3" t="s">
        <v>6</v>
      </c>
      <c r="Y3" s="3" t="s">
        <v>7</v>
      </c>
      <c r="Z3" s="3" t="s">
        <v>8</v>
      </c>
      <c r="AA3" s="3" t="s">
        <v>9</v>
      </c>
      <c r="AB3" s="3" t="s">
        <v>10</v>
      </c>
      <c r="AC3" s="3" t="s">
        <v>11</v>
      </c>
      <c r="AD3" s="3" t="s">
        <v>12</v>
      </c>
      <c r="AE3" s="3" t="s">
        <v>13</v>
      </c>
      <c r="AF3" s="10" t="s">
        <v>14</v>
      </c>
      <c r="AI3" s="3" t="s">
        <v>0</v>
      </c>
      <c r="AJ3" s="3" t="s">
        <v>20</v>
      </c>
      <c r="AK3" s="3" t="s">
        <v>40</v>
      </c>
      <c r="AL3" s="3" t="s">
        <v>41</v>
      </c>
      <c r="AM3" s="3" t="s">
        <v>42</v>
      </c>
      <c r="AN3" s="3" t="s">
        <v>43</v>
      </c>
      <c r="AO3" s="10" t="s">
        <v>14</v>
      </c>
      <c r="AQ3" s="3" t="s">
        <v>0</v>
      </c>
      <c r="AR3" s="3" t="s">
        <v>20</v>
      </c>
      <c r="AS3" s="3" t="s">
        <v>40</v>
      </c>
      <c r="AT3" s="3" t="s">
        <v>41</v>
      </c>
      <c r="AU3" s="3" t="s">
        <v>42</v>
      </c>
      <c r="AV3" s="3" t="s">
        <v>43</v>
      </c>
      <c r="AW3" s="10" t="s">
        <v>14</v>
      </c>
      <c r="AY3" s="3" t="s">
        <v>0</v>
      </c>
      <c r="AZ3" s="3" t="s">
        <v>20</v>
      </c>
      <c r="BA3" s="3" t="s">
        <v>40</v>
      </c>
      <c r="BB3" s="3" t="s">
        <v>41</v>
      </c>
      <c r="BC3" s="3" t="s">
        <v>42</v>
      </c>
      <c r="BD3" s="3" t="s">
        <v>43</v>
      </c>
      <c r="BE3" s="10" t="s">
        <v>14</v>
      </c>
    </row>
    <row r="4" spans="1:57" ht="28.8" x14ac:dyDescent="0.3">
      <c r="A4" s="2">
        <v>2</v>
      </c>
      <c r="B4" s="5" t="s">
        <v>15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6">
        <f>SUM(C4:N4)</f>
        <v>0</v>
      </c>
      <c r="R4" s="2">
        <v>1</v>
      </c>
      <c r="S4" s="5" t="s">
        <v>25</v>
      </c>
      <c r="T4" s="7">
        <v>25000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11">
        <f>SUM(T4:AE4)</f>
        <v>25000</v>
      </c>
      <c r="AI4" s="2">
        <v>1</v>
      </c>
      <c r="AJ4" s="5" t="s">
        <v>27</v>
      </c>
      <c r="AK4" s="7">
        <f>60000*3</f>
        <v>180000</v>
      </c>
      <c r="AL4" s="7">
        <f>AK4</f>
        <v>180000</v>
      </c>
      <c r="AM4" s="7">
        <f t="shared" ref="AM4:AN4" si="0">AL4</f>
        <v>180000</v>
      </c>
      <c r="AN4" s="7">
        <f t="shared" si="0"/>
        <v>180000</v>
      </c>
      <c r="AO4" s="11">
        <f>SUM(AK4:AN4)</f>
        <v>720000</v>
      </c>
      <c r="AQ4" s="2">
        <v>1</v>
      </c>
      <c r="AR4" s="5" t="s">
        <v>27</v>
      </c>
      <c r="AS4" s="7">
        <f>70000*3</f>
        <v>210000</v>
      </c>
      <c r="AT4" s="7">
        <f>AS4</f>
        <v>210000</v>
      </c>
      <c r="AU4" s="7">
        <f t="shared" ref="AU4:AV4" si="1">AT4</f>
        <v>210000</v>
      </c>
      <c r="AV4" s="7">
        <f t="shared" si="1"/>
        <v>210000</v>
      </c>
      <c r="AW4" s="11">
        <f>SUM(AS4:AV4)</f>
        <v>840000</v>
      </c>
      <c r="AY4" s="2">
        <v>1</v>
      </c>
      <c r="AZ4" s="5" t="s">
        <v>27</v>
      </c>
      <c r="BA4" s="7">
        <f>80000*3</f>
        <v>240000</v>
      </c>
      <c r="BB4" s="7">
        <f>BA4</f>
        <v>240000</v>
      </c>
      <c r="BC4" s="7">
        <f t="shared" ref="BC4:BD4" si="2">BB4</f>
        <v>240000</v>
      </c>
      <c r="BD4" s="7">
        <f t="shared" si="2"/>
        <v>240000</v>
      </c>
      <c r="BE4" s="11">
        <f>SUM(BA4:BD4)</f>
        <v>960000</v>
      </c>
    </row>
    <row r="5" spans="1:57" x14ac:dyDescent="0.3">
      <c r="A5" s="15" t="s">
        <v>14</v>
      </c>
      <c r="B5" s="16"/>
      <c r="C5" s="14">
        <f t="shared" ref="C5:N5" si="3">SUM(C3:C4)</f>
        <v>0</v>
      </c>
      <c r="D5" s="14">
        <f t="shared" si="3"/>
        <v>0</v>
      </c>
      <c r="E5" s="14">
        <f t="shared" si="3"/>
        <v>0</v>
      </c>
      <c r="F5" s="14">
        <f t="shared" si="3"/>
        <v>0</v>
      </c>
      <c r="G5" s="14">
        <f t="shared" si="3"/>
        <v>0</v>
      </c>
      <c r="H5" s="14">
        <f t="shared" si="3"/>
        <v>0</v>
      </c>
      <c r="I5" s="14">
        <f t="shared" si="3"/>
        <v>0</v>
      </c>
      <c r="J5" s="14">
        <f t="shared" si="3"/>
        <v>0</v>
      </c>
      <c r="K5" s="14">
        <f t="shared" si="3"/>
        <v>2000000</v>
      </c>
      <c r="L5" s="14">
        <f t="shared" si="3"/>
        <v>0</v>
      </c>
      <c r="M5" s="14">
        <f t="shared" si="3"/>
        <v>0</v>
      </c>
      <c r="N5" s="14">
        <f t="shared" si="3"/>
        <v>0</v>
      </c>
      <c r="O5" s="17">
        <f>SUM(C5:N5)</f>
        <v>2000000</v>
      </c>
      <c r="R5" s="2">
        <v>2</v>
      </c>
      <c r="S5" s="5" t="s">
        <v>26</v>
      </c>
      <c r="T5" s="7">
        <v>40000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11">
        <f>SUM(T5:AE5)</f>
        <v>40000</v>
      </c>
      <c r="AI5" s="2">
        <v>2</v>
      </c>
      <c r="AJ5" s="8" t="s">
        <v>22</v>
      </c>
      <c r="AK5" s="7">
        <f>20000*3</f>
        <v>60000</v>
      </c>
      <c r="AL5" s="7">
        <f>AK5</f>
        <v>60000</v>
      </c>
      <c r="AM5" s="7">
        <f t="shared" ref="AM5:AN5" si="4">AL5</f>
        <v>60000</v>
      </c>
      <c r="AN5" s="7">
        <f t="shared" si="4"/>
        <v>60000</v>
      </c>
      <c r="AO5" s="11">
        <f>SUM(AK5:AN5)</f>
        <v>240000</v>
      </c>
      <c r="AQ5" s="2">
        <v>2</v>
      </c>
      <c r="AR5" s="8" t="s">
        <v>22</v>
      </c>
      <c r="AS5" s="7">
        <f>30000*3</f>
        <v>90000</v>
      </c>
      <c r="AT5" s="7">
        <f>AS5</f>
        <v>90000</v>
      </c>
      <c r="AU5" s="7">
        <f t="shared" ref="AU5:AV5" si="5">AT5</f>
        <v>90000</v>
      </c>
      <c r="AV5" s="7">
        <f t="shared" si="5"/>
        <v>90000</v>
      </c>
      <c r="AW5" s="11">
        <f>SUM(AS5:AV5)</f>
        <v>360000</v>
      </c>
      <c r="AY5" s="2">
        <v>2</v>
      </c>
      <c r="AZ5" s="8" t="s">
        <v>22</v>
      </c>
      <c r="BA5" s="7">
        <f>40000*3</f>
        <v>120000</v>
      </c>
      <c r="BB5" s="7">
        <f>BA5</f>
        <v>120000</v>
      </c>
      <c r="BC5" s="7">
        <f t="shared" ref="BC5:BD5" si="6">BB5</f>
        <v>120000</v>
      </c>
      <c r="BD5" s="7">
        <f t="shared" si="6"/>
        <v>120000</v>
      </c>
      <c r="BE5" s="11">
        <f>SUM(BA5:BD5)</f>
        <v>480000</v>
      </c>
    </row>
    <row r="6" spans="1:57" x14ac:dyDescent="0.3">
      <c r="R6" s="2">
        <v>3</v>
      </c>
      <c r="S6" s="5" t="s">
        <v>21</v>
      </c>
      <c r="T6" s="7">
        <v>10000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11">
        <f>SUM(T6:AE6)</f>
        <v>10000</v>
      </c>
      <c r="AI6" s="2">
        <v>3</v>
      </c>
      <c r="AJ6" s="5" t="s">
        <v>35</v>
      </c>
      <c r="AK6" s="7">
        <f>3500*3</f>
        <v>10500</v>
      </c>
      <c r="AL6" s="7">
        <f>AK6</f>
        <v>10500</v>
      </c>
      <c r="AM6" s="7">
        <f t="shared" ref="AM6:AN6" si="7">AL6</f>
        <v>10500</v>
      </c>
      <c r="AN6" s="7">
        <f t="shared" si="7"/>
        <v>10500</v>
      </c>
      <c r="AO6" s="11">
        <f>SUM(AK6:AN6)</f>
        <v>42000</v>
      </c>
      <c r="AQ6" s="2">
        <v>3</v>
      </c>
      <c r="AR6" s="5" t="s">
        <v>35</v>
      </c>
      <c r="AS6" s="7">
        <f>4000*3</f>
        <v>12000</v>
      </c>
      <c r="AT6" s="7">
        <f>AS6</f>
        <v>12000</v>
      </c>
      <c r="AU6" s="7">
        <f t="shared" ref="AU6:AV6" si="8">AT6</f>
        <v>12000</v>
      </c>
      <c r="AV6" s="7">
        <f t="shared" si="8"/>
        <v>12000</v>
      </c>
      <c r="AW6" s="11">
        <f>SUM(AS6:AV6)</f>
        <v>48000</v>
      </c>
      <c r="AY6" s="2">
        <v>3</v>
      </c>
      <c r="AZ6" s="5" t="s">
        <v>35</v>
      </c>
      <c r="BA6" s="7">
        <f>5500*3</f>
        <v>16500</v>
      </c>
      <c r="BB6" s="7">
        <f>BA6</f>
        <v>16500</v>
      </c>
      <c r="BC6" s="7">
        <f t="shared" ref="BC6:BD6" si="9">BB6</f>
        <v>16500</v>
      </c>
      <c r="BD6" s="7">
        <f t="shared" si="9"/>
        <v>16500</v>
      </c>
      <c r="BE6" s="11">
        <f>SUM(BA6:BD6)</f>
        <v>66000</v>
      </c>
    </row>
    <row r="7" spans="1:57" x14ac:dyDescent="0.3">
      <c r="A7" s="1" t="s">
        <v>166</v>
      </c>
      <c r="I7" s="1" t="s">
        <v>17</v>
      </c>
      <c r="R7" s="2">
        <v>4</v>
      </c>
      <c r="S7" s="5" t="s">
        <v>28</v>
      </c>
      <c r="T7" s="7">
        <v>25000</v>
      </c>
      <c r="U7" s="7">
        <v>25000</v>
      </c>
      <c r="V7" s="7">
        <v>25000</v>
      </c>
      <c r="W7" s="7">
        <v>25000</v>
      </c>
      <c r="X7" s="7">
        <v>25000</v>
      </c>
      <c r="Y7" s="7">
        <v>25000</v>
      </c>
      <c r="Z7" s="7">
        <v>25000</v>
      </c>
      <c r="AA7" s="7">
        <v>25000</v>
      </c>
      <c r="AB7" s="7">
        <v>25000</v>
      </c>
      <c r="AC7" s="7">
        <v>25000</v>
      </c>
      <c r="AD7" s="7">
        <v>25000</v>
      </c>
      <c r="AE7" s="7">
        <v>25000</v>
      </c>
      <c r="AF7" s="11">
        <f>SUM(T7:AE7)</f>
        <v>300000</v>
      </c>
      <c r="AI7" s="2">
        <v>4</v>
      </c>
      <c r="AJ7" s="5" t="s">
        <v>28</v>
      </c>
      <c r="AK7" s="7">
        <f>27000*3</f>
        <v>81000</v>
      </c>
      <c r="AL7" s="7">
        <f>AK7</f>
        <v>81000</v>
      </c>
      <c r="AM7" s="7">
        <f t="shared" ref="AM7:AN7" si="10">AL7</f>
        <v>81000</v>
      </c>
      <c r="AN7" s="7">
        <f t="shared" si="10"/>
        <v>81000</v>
      </c>
      <c r="AO7" s="11">
        <f>SUM(AK7:AN7)</f>
        <v>324000</v>
      </c>
      <c r="AQ7" s="2">
        <v>4</v>
      </c>
      <c r="AR7" s="5" t="s">
        <v>28</v>
      </c>
      <c r="AS7" s="7">
        <f>30000*3</f>
        <v>90000</v>
      </c>
      <c r="AT7" s="7">
        <f>AS7</f>
        <v>90000</v>
      </c>
      <c r="AU7" s="7">
        <f t="shared" ref="AU7:AV7" si="11">AT7</f>
        <v>90000</v>
      </c>
      <c r="AV7" s="7">
        <f t="shared" si="11"/>
        <v>90000</v>
      </c>
      <c r="AW7" s="11">
        <f>SUM(AS7:AV7)</f>
        <v>360000</v>
      </c>
      <c r="AY7" s="2">
        <v>4</v>
      </c>
      <c r="AZ7" s="5" t="s">
        <v>28</v>
      </c>
      <c r="BA7" s="7">
        <f>40000*3</f>
        <v>120000</v>
      </c>
      <c r="BB7" s="7">
        <f>BA7</f>
        <v>120000</v>
      </c>
      <c r="BC7" s="7">
        <f t="shared" ref="BC7:BD14" si="12">BB7</f>
        <v>120000</v>
      </c>
      <c r="BD7" s="7">
        <f t="shared" si="12"/>
        <v>120000</v>
      </c>
      <c r="BE7" s="11">
        <f>SUM(BA7:BD7)</f>
        <v>480000</v>
      </c>
    </row>
    <row r="8" spans="1:57" ht="28.8" x14ac:dyDescent="0.3">
      <c r="A8" s="2" t="s">
        <v>0</v>
      </c>
      <c r="B8" s="2" t="s">
        <v>1</v>
      </c>
      <c r="C8" s="3" t="s">
        <v>2</v>
      </c>
      <c r="D8" s="3" t="s">
        <v>3</v>
      </c>
      <c r="E8" s="3" t="s">
        <v>4</v>
      </c>
      <c r="F8" s="3" t="s">
        <v>5</v>
      </c>
      <c r="G8" s="3" t="s">
        <v>6</v>
      </c>
      <c r="H8" s="3" t="s">
        <v>7</v>
      </c>
      <c r="I8" s="3" t="s">
        <v>8</v>
      </c>
      <c r="J8" s="3" t="s">
        <v>9</v>
      </c>
      <c r="K8" s="3" t="s">
        <v>10</v>
      </c>
      <c r="L8" s="3" t="s">
        <v>11</v>
      </c>
      <c r="M8" s="3" t="s">
        <v>12</v>
      </c>
      <c r="N8" s="3" t="s">
        <v>13</v>
      </c>
      <c r="O8" s="4" t="s">
        <v>14</v>
      </c>
      <c r="R8" s="2">
        <v>5</v>
      </c>
      <c r="S8" s="5" t="s">
        <v>27</v>
      </c>
      <c r="T8" s="7">
        <v>50000</v>
      </c>
      <c r="U8" s="7">
        <v>50000</v>
      </c>
      <c r="V8" s="7">
        <v>50000</v>
      </c>
      <c r="W8" s="7">
        <v>50000</v>
      </c>
      <c r="X8" s="7">
        <v>50000</v>
      </c>
      <c r="Y8" s="7">
        <v>50000</v>
      </c>
      <c r="Z8" s="7">
        <v>50000</v>
      </c>
      <c r="AA8" s="7">
        <v>50000</v>
      </c>
      <c r="AB8" s="7">
        <v>50000</v>
      </c>
      <c r="AC8" s="7">
        <v>50000</v>
      </c>
      <c r="AD8" s="7">
        <v>50000</v>
      </c>
      <c r="AE8" s="7">
        <v>50000</v>
      </c>
      <c r="AF8" s="11">
        <f t="shared" ref="AF8:AF9" si="13">SUM(T8:AE8)</f>
        <v>600000</v>
      </c>
      <c r="AI8" s="2">
        <v>5</v>
      </c>
      <c r="AJ8" s="5" t="s">
        <v>34</v>
      </c>
      <c r="AK8" s="7">
        <v>70000</v>
      </c>
      <c r="AL8" s="7">
        <v>0</v>
      </c>
      <c r="AM8" s="7">
        <v>0</v>
      </c>
      <c r="AN8" s="7">
        <v>0</v>
      </c>
      <c r="AO8" s="11">
        <f>SUM(AK8:AN8)</f>
        <v>70000</v>
      </c>
      <c r="AQ8" s="2">
        <v>5</v>
      </c>
      <c r="AR8" s="5" t="s">
        <v>29</v>
      </c>
      <c r="AS8" s="7">
        <f>AN9</f>
        <v>20000</v>
      </c>
      <c r="AT8" s="7">
        <f>AS8</f>
        <v>20000</v>
      </c>
      <c r="AU8" s="7">
        <f>AT8</f>
        <v>20000</v>
      </c>
      <c r="AV8" s="7">
        <f t="shared" ref="AV8:AV14" si="14">AU8</f>
        <v>20000</v>
      </c>
      <c r="AW8" s="11">
        <f>SUM(AS8:AV8)</f>
        <v>80000</v>
      </c>
      <c r="AY8" s="2">
        <v>5</v>
      </c>
      <c r="AZ8" s="5" t="s">
        <v>29</v>
      </c>
      <c r="BA8" s="7">
        <f>AV8</f>
        <v>20000</v>
      </c>
      <c r="BB8" s="7">
        <f>BA8</f>
        <v>20000</v>
      </c>
      <c r="BC8" s="7">
        <f>BB8</f>
        <v>20000</v>
      </c>
      <c r="BD8" s="7">
        <f t="shared" si="12"/>
        <v>20000</v>
      </c>
      <c r="BE8" s="11">
        <f>SUM(BA8:BD8)</f>
        <v>80000</v>
      </c>
    </row>
    <row r="9" spans="1:57" ht="28.8" x14ac:dyDescent="0.3">
      <c r="A9" s="2">
        <v>1</v>
      </c>
      <c r="B9" s="5" t="s">
        <v>33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2000000</v>
      </c>
      <c r="L9" s="7">
        <v>0</v>
      </c>
      <c r="M9" s="7">
        <v>0</v>
      </c>
      <c r="N9" s="7">
        <v>0</v>
      </c>
      <c r="O9" s="6">
        <f>SUM(C9:N9)</f>
        <v>2000000</v>
      </c>
      <c r="R9" s="2">
        <v>6</v>
      </c>
      <c r="S9" s="8" t="s">
        <v>22</v>
      </c>
      <c r="T9" s="7">
        <v>15000</v>
      </c>
      <c r="U9" s="7">
        <v>15000</v>
      </c>
      <c r="V9" s="7">
        <v>15000</v>
      </c>
      <c r="W9" s="7">
        <v>15000</v>
      </c>
      <c r="X9" s="7">
        <v>15000</v>
      </c>
      <c r="Y9" s="7">
        <v>15000</v>
      </c>
      <c r="Z9" s="7">
        <v>15000</v>
      </c>
      <c r="AA9" s="7">
        <v>15000</v>
      </c>
      <c r="AB9" s="7">
        <v>15000</v>
      </c>
      <c r="AC9" s="7">
        <v>15000</v>
      </c>
      <c r="AD9" s="7">
        <v>15000</v>
      </c>
      <c r="AE9" s="7">
        <v>15000</v>
      </c>
      <c r="AF9" s="11">
        <f t="shared" si="13"/>
        <v>180000</v>
      </c>
      <c r="AI9" s="2">
        <v>6</v>
      </c>
      <c r="AJ9" s="5" t="s">
        <v>29</v>
      </c>
      <c r="AK9" s="7">
        <f>AE11*3</f>
        <v>15625</v>
      </c>
      <c r="AL9" s="7">
        <f>AK9+(AK8*1/4*1/12)*3</f>
        <v>20000</v>
      </c>
      <c r="AM9" s="7">
        <f>AL9</f>
        <v>20000</v>
      </c>
      <c r="AN9" s="7">
        <f t="shared" ref="AN9:AN15" si="15">AM9</f>
        <v>20000</v>
      </c>
      <c r="AO9" s="11">
        <f>SUM(AK9:AN9)</f>
        <v>75625</v>
      </c>
      <c r="AQ9" s="2">
        <v>6</v>
      </c>
      <c r="AR9" s="5" t="s">
        <v>36</v>
      </c>
      <c r="AS9" s="7">
        <f>450000/4</f>
        <v>112500</v>
      </c>
      <c r="AT9" s="7">
        <f>AS9</f>
        <v>112500</v>
      </c>
      <c r="AU9" s="7">
        <f t="shared" ref="AU9:AU14" si="16">AT9</f>
        <v>112500</v>
      </c>
      <c r="AV9" s="7">
        <f t="shared" si="14"/>
        <v>112500</v>
      </c>
      <c r="AW9" s="11">
        <f>SUM(AS9:AV9)</f>
        <v>450000</v>
      </c>
      <c r="AY9" s="2">
        <v>6</v>
      </c>
      <c r="AZ9" s="5" t="s">
        <v>36</v>
      </c>
      <c r="BA9" s="7">
        <f>600000/4</f>
        <v>150000</v>
      </c>
      <c r="BB9" s="7">
        <f>BA9</f>
        <v>150000</v>
      </c>
      <c r="BC9" s="7">
        <f t="shared" ref="BC9:BC14" si="17">BB9</f>
        <v>150000</v>
      </c>
      <c r="BD9" s="7">
        <f t="shared" si="12"/>
        <v>150000</v>
      </c>
      <c r="BE9" s="11">
        <f>SUM(BA9:BD9)</f>
        <v>600000</v>
      </c>
    </row>
    <row r="10" spans="1:57" ht="28.8" x14ac:dyDescent="0.3">
      <c r="A10" s="2">
        <v>2</v>
      </c>
      <c r="B10" s="5" t="s">
        <v>15</v>
      </c>
      <c r="C10" s="7">
        <v>300000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6">
        <f>SUM(C10:N10)</f>
        <v>300000</v>
      </c>
      <c r="R10" s="2">
        <v>7</v>
      </c>
      <c r="S10" s="5" t="s">
        <v>23</v>
      </c>
      <c r="T10" s="7">
        <v>250000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11">
        <f>SUM(T10:AE10)</f>
        <v>250000</v>
      </c>
      <c r="AI10" s="2">
        <v>7</v>
      </c>
      <c r="AJ10" s="5" t="s">
        <v>36</v>
      </c>
      <c r="AK10" s="7">
        <f>400000/4</f>
        <v>100000</v>
      </c>
      <c r="AL10" s="7">
        <f>AK10</f>
        <v>100000</v>
      </c>
      <c r="AM10" s="7">
        <f t="shared" ref="AM10" si="18">AL10</f>
        <v>100000</v>
      </c>
      <c r="AN10" s="7">
        <f t="shared" si="15"/>
        <v>100000</v>
      </c>
      <c r="AO10" s="11">
        <f>SUM(AK10:AN10)</f>
        <v>400000</v>
      </c>
      <c r="AQ10" s="2">
        <v>7</v>
      </c>
      <c r="AR10" s="5" t="s">
        <v>37</v>
      </c>
      <c r="AS10" s="7">
        <f>330000/4</f>
        <v>82500</v>
      </c>
      <c r="AT10" s="7">
        <f>AS10</f>
        <v>82500</v>
      </c>
      <c r="AU10" s="7">
        <f t="shared" si="16"/>
        <v>82500</v>
      </c>
      <c r="AV10" s="7">
        <f t="shared" si="14"/>
        <v>82500</v>
      </c>
      <c r="AW10" s="11">
        <f>SUM(AS10:AV10)</f>
        <v>330000</v>
      </c>
      <c r="AY10" s="2">
        <v>7</v>
      </c>
      <c r="AZ10" s="5" t="s">
        <v>37</v>
      </c>
      <c r="BA10" s="7">
        <f>450000/4</f>
        <v>112500</v>
      </c>
      <c r="BB10" s="7">
        <f>BA10</f>
        <v>112500</v>
      </c>
      <c r="BC10" s="7">
        <f t="shared" si="17"/>
        <v>112500</v>
      </c>
      <c r="BD10" s="7">
        <f t="shared" si="12"/>
        <v>112500</v>
      </c>
      <c r="BE10" s="11">
        <f>SUM(BA10:BD10)</f>
        <v>450000</v>
      </c>
    </row>
    <row r="11" spans="1:57" ht="28.8" x14ac:dyDescent="0.3">
      <c r="A11" s="15" t="s">
        <v>14</v>
      </c>
      <c r="B11" s="16"/>
      <c r="C11" s="14">
        <f t="shared" ref="C11:K11" si="19">SUM(C9:C10)</f>
        <v>300000</v>
      </c>
      <c r="D11" s="14">
        <f t="shared" si="19"/>
        <v>0</v>
      </c>
      <c r="E11" s="14">
        <f t="shared" si="19"/>
        <v>0</v>
      </c>
      <c r="F11" s="14">
        <f t="shared" si="19"/>
        <v>0</v>
      </c>
      <c r="G11" s="14">
        <f t="shared" si="19"/>
        <v>0</v>
      </c>
      <c r="H11" s="14">
        <f t="shared" si="19"/>
        <v>0</v>
      </c>
      <c r="I11" s="14">
        <f t="shared" si="19"/>
        <v>0</v>
      </c>
      <c r="J11" s="14">
        <f t="shared" si="19"/>
        <v>0</v>
      </c>
      <c r="K11" s="14">
        <f t="shared" si="19"/>
        <v>2000000</v>
      </c>
      <c r="L11" s="14">
        <f t="shared" ref="L11:N11" si="20">SUM(L9:L10)</f>
        <v>0</v>
      </c>
      <c r="M11" s="14">
        <f t="shared" si="20"/>
        <v>0</v>
      </c>
      <c r="N11" s="14">
        <f t="shared" si="20"/>
        <v>0</v>
      </c>
      <c r="O11" s="17">
        <f>SUM(C11:N11)</f>
        <v>2300000</v>
      </c>
      <c r="R11" s="2">
        <v>8</v>
      </c>
      <c r="S11" s="5" t="s">
        <v>29</v>
      </c>
      <c r="T11" s="7">
        <v>0</v>
      </c>
      <c r="U11" s="7">
        <f>T10*1/4*1/12</f>
        <v>5208.333333333333</v>
      </c>
      <c r="V11" s="7">
        <f>U11</f>
        <v>5208.333333333333</v>
      </c>
      <c r="W11" s="7">
        <f t="shared" ref="W11" si="21">V11</f>
        <v>5208.333333333333</v>
      </c>
      <c r="X11" s="7">
        <f t="shared" ref="X11" si="22">W11</f>
        <v>5208.333333333333</v>
      </c>
      <c r="Y11" s="7">
        <f t="shared" ref="Y11" si="23">X11</f>
        <v>5208.333333333333</v>
      </c>
      <c r="Z11" s="7">
        <f t="shared" ref="Z11" si="24">Y11</f>
        <v>5208.333333333333</v>
      </c>
      <c r="AA11" s="7">
        <f t="shared" ref="AA11" si="25">Z11</f>
        <v>5208.333333333333</v>
      </c>
      <c r="AB11" s="7">
        <f t="shared" ref="AB11" si="26">AA11</f>
        <v>5208.333333333333</v>
      </c>
      <c r="AC11" s="7">
        <f t="shared" ref="AC11" si="27">AB11</f>
        <v>5208.333333333333</v>
      </c>
      <c r="AD11" s="7">
        <f t="shared" ref="AD11" si="28">AC11</f>
        <v>5208.333333333333</v>
      </c>
      <c r="AE11" s="7">
        <f t="shared" ref="AE11" si="29">AD11</f>
        <v>5208.333333333333</v>
      </c>
      <c r="AF11" s="11">
        <f>SUM(T11:AE11)</f>
        <v>57291.666666666672</v>
      </c>
      <c r="AI11" s="2">
        <v>8</v>
      </c>
      <c r="AJ11" s="5" t="s">
        <v>37</v>
      </c>
      <c r="AK11" s="7">
        <f>300000/4</f>
        <v>75000</v>
      </c>
      <c r="AL11" s="7">
        <f>AK11</f>
        <v>75000</v>
      </c>
      <c r="AM11" s="7">
        <f t="shared" ref="AM11" si="30">AL11</f>
        <v>75000</v>
      </c>
      <c r="AN11" s="7">
        <f t="shared" si="15"/>
        <v>75000</v>
      </c>
      <c r="AO11" s="11">
        <f>SUM(AK11:AN11)</f>
        <v>300000</v>
      </c>
      <c r="AQ11" s="2">
        <v>8</v>
      </c>
      <c r="AR11" s="5" t="s">
        <v>44</v>
      </c>
      <c r="AS11" s="7">
        <f>280000/4</f>
        <v>70000</v>
      </c>
      <c r="AT11" s="7">
        <f>AS11</f>
        <v>70000</v>
      </c>
      <c r="AU11" s="7">
        <f t="shared" si="16"/>
        <v>70000</v>
      </c>
      <c r="AV11" s="7">
        <f t="shared" si="14"/>
        <v>70000</v>
      </c>
      <c r="AW11" s="11">
        <f>SUM(AS11:AV11)</f>
        <v>280000</v>
      </c>
      <c r="AY11" s="2">
        <v>8</v>
      </c>
      <c r="AZ11" s="5" t="s">
        <v>44</v>
      </c>
      <c r="BA11" s="7">
        <f>350000/4</f>
        <v>87500</v>
      </c>
      <c r="BB11" s="7">
        <f>BA11</f>
        <v>87500</v>
      </c>
      <c r="BC11" s="7">
        <f t="shared" si="17"/>
        <v>87500</v>
      </c>
      <c r="BD11" s="7">
        <f t="shared" si="12"/>
        <v>87500</v>
      </c>
      <c r="BE11" s="11">
        <f>SUM(BA11:BD11)</f>
        <v>350000</v>
      </c>
    </row>
    <row r="12" spans="1:57" ht="28.8" x14ac:dyDescent="0.3">
      <c r="R12" s="2">
        <v>9</v>
      </c>
      <c r="S12" s="5" t="s">
        <v>30</v>
      </c>
      <c r="T12" s="7">
        <v>25000</v>
      </c>
      <c r="U12" s="7">
        <v>25000</v>
      </c>
      <c r="V12" s="7">
        <v>25000</v>
      </c>
      <c r="W12" s="7">
        <v>25000</v>
      </c>
      <c r="X12" s="7">
        <v>25000</v>
      </c>
      <c r="Y12" s="7">
        <v>25000</v>
      </c>
      <c r="Z12" s="7">
        <v>25000</v>
      </c>
      <c r="AA12" s="7">
        <v>25000</v>
      </c>
      <c r="AB12" s="7">
        <v>25000</v>
      </c>
      <c r="AC12" s="7">
        <v>25000</v>
      </c>
      <c r="AD12" s="7">
        <v>25000</v>
      </c>
      <c r="AE12" s="7">
        <v>25000</v>
      </c>
      <c r="AF12" s="11">
        <f>SUM(T12:AE12)</f>
        <v>300000</v>
      </c>
      <c r="AI12" s="2">
        <v>9</v>
      </c>
      <c r="AJ12" s="5" t="s">
        <v>44</v>
      </c>
      <c r="AK12" s="7">
        <f>250000/4</f>
        <v>62500</v>
      </c>
      <c r="AL12" s="7">
        <f>AK12</f>
        <v>62500</v>
      </c>
      <c r="AM12" s="7">
        <f t="shared" ref="AM12" si="31">AL12</f>
        <v>62500</v>
      </c>
      <c r="AN12" s="7">
        <f t="shared" si="15"/>
        <v>62500</v>
      </c>
      <c r="AO12" s="11">
        <f>SUM(AK12:AN12)</f>
        <v>250000</v>
      </c>
      <c r="AQ12" s="2">
        <v>9</v>
      </c>
      <c r="AR12" s="5" t="s">
        <v>30</v>
      </c>
      <c r="AS12" s="7">
        <f>40000*3</f>
        <v>120000</v>
      </c>
      <c r="AT12" s="7">
        <f>AS12</f>
        <v>120000</v>
      </c>
      <c r="AU12" s="7">
        <f t="shared" si="16"/>
        <v>120000</v>
      </c>
      <c r="AV12" s="7">
        <f t="shared" si="14"/>
        <v>120000</v>
      </c>
      <c r="AW12" s="11">
        <f>SUM(AS12:AV12)</f>
        <v>480000</v>
      </c>
      <c r="AY12" s="2">
        <v>9</v>
      </c>
      <c r="AZ12" s="5" t="s">
        <v>30</v>
      </c>
      <c r="BA12" s="7">
        <f>50000*3</f>
        <v>150000</v>
      </c>
      <c r="BB12" s="7">
        <f>BA12</f>
        <v>150000</v>
      </c>
      <c r="BC12" s="7">
        <f t="shared" si="17"/>
        <v>150000</v>
      </c>
      <c r="BD12" s="7">
        <f t="shared" si="12"/>
        <v>150000</v>
      </c>
      <c r="BE12" s="11">
        <f>SUM(BA12:BD12)</f>
        <v>600000</v>
      </c>
    </row>
    <row r="13" spans="1:57" ht="28.8" x14ac:dyDescent="0.3">
      <c r="A13" s="1" t="s">
        <v>166</v>
      </c>
      <c r="I13" s="1" t="s">
        <v>18</v>
      </c>
      <c r="R13" s="2">
        <v>10</v>
      </c>
      <c r="S13" s="9" t="s">
        <v>24</v>
      </c>
      <c r="T13" s="7">
        <v>7000</v>
      </c>
      <c r="U13" s="7">
        <v>7000</v>
      </c>
      <c r="V13" s="7">
        <v>7000</v>
      </c>
      <c r="W13" s="7">
        <v>7000</v>
      </c>
      <c r="X13" s="7">
        <v>7000</v>
      </c>
      <c r="Y13" s="7">
        <v>7000</v>
      </c>
      <c r="Z13" s="7">
        <v>7000</v>
      </c>
      <c r="AA13" s="7">
        <v>7000</v>
      </c>
      <c r="AB13" s="7">
        <v>7000</v>
      </c>
      <c r="AC13" s="7">
        <v>7000</v>
      </c>
      <c r="AD13" s="7">
        <v>7000</v>
      </c>
      <c r="AE13" s="7">
        <v>7000</v>
      </c>
      <c r="AF13" s="11">
        <f>SUM(T13:AE13)</f>
        <v>84000</v>
      </c>
      <c r="AI13" s="2">
        <v>10</v>
      </c>
      <c r="AJ13" s="5" t="s">
        <v>30</v>
      </c>
      <c r="AK13" s="7">
        <f>30000*3</f>
        <v>90000</v>
      </c>
      <c r="AL13" s="7">
        <f>AK13</f>
        <v>90000</v>
      </c>
      <c r="AM13" s="7">
        <f t="shared" ref="AM13" si="32">AL13</f>
        <v>90000</v>
      </c>
      <c r="AN13" s="7">
        <f t="shared" si="15"/>
        <v>90000</v>
      </c>
      <c r="AO13" s="11">
        <f>SUM(AK13:AN13)</f>
        <v>360000</v>
      </c>
      <c r="AQ13" s="2">
        <v>10</v>
      </c>
      <c r="AR13" s="9" t="s">
        <v>24</v>
      </c>
      <c r="AS13" s="7">
        <f>10000*3</f>
        <v>30000</v>
      </c>
      <c r="AT13" s="7">
        <f>AS13</f>
        <v>30000</v>
      </c>
      <c r="AU13" s="7">
        <f t="shared" si="16"/>
        <v>30000</v>
      </c>
      <c r="AV13" s="7">
        <f t="shared" si="14"/>
        <v>30000</v>
      </c>
      <c r="AW13" s="11">
        <f>SUM(AS13:AV13)</f>
        <v>120000</v>
      </c>
      <c r="AY13" s="2">
        <v>10</v>
      </c>
      <c r="AZ13" s="9" t="s">
        <v>24</v>
      </c>
      <c r="BA13" s="7">
        <f>15000*3</f>
        <v>45000</v>
      </c>
      <c r="BB13" s="7">
        <f>BA13</f>
        <v>45000</v>
      </c>
      <c r="BC13" s="7">
        <f t="shared" si="17"/>
        <v>45000</v>
      </c>
      <c r="BD13" s="7">
        <f t="shared" si="12"/>
        <v>45000</v>
      </c>
      <c r="BE13" s="11">
        <f>SUM(BA13:BD13)</f>
        <v>180000</v>
      </c>
    </row>
    <row r="14" spans="1:57" ht="28.8" x14ac:dyDescent="0.3">
      <c r="A14" s="2" t="s">
        <v>0</v>
      </c>
      <c r="B14" s="2" t="s">
        <v>1</v>
      </c>
      <c r="C14" s="3" t="s">
        <v>2</v>
      </c>
      <c r="D14" s="3" t="s">
        <v>3</v>
      </c>
      <c r="E14" s="3" t="s">
        <v>4</v>
      </c>
      <c r="F14" s="3" t="s">
        <v>5</v>
      </c>
      <c r="G14" s="3" t="s">
        <v>6</v>
      </c>
      <c r="H14" s="3" t="s">
        <v>7</v>
      </c>
      <c r="I14" s="3" t="s">
        <v>8</v>
      </c>
      <c r="J14" s="3" t="s">
        <v>9</v>
      </c>
      <c r="K14" s="3" t="s">
        <v>10</v>
      </c>
      <c r="L14" s="3" t="s">
        <v>11</v>
      </c>
      <c r="M14" s="3" t="s">
        <v>12</v>
      </c>
      <c r="N14" s="3" t="s">
        <v>13</v>
      </c>
      <c r="O14" s="4" t="s">
        <v>14</v>
      </c>
      <c r="R14" s="13" t="s">
        <v>14</v>
      </c>
      <c r="S14" s="13"/>
      <c r="T14" s="14">
        <f>SUM(T4:T13)</f>
        <v>447000</v>
      </c>
      <c r="U14" s="14">
        <f t="shared" ref="U14" si="33">SUM(U4:U13)</f>
        <v>127208.33333333333</v>
      </c>
      <c r="V14" s="14">
        <f t="shared" ref="V14" si="34">SUM(V4:V13)</f>
        <v>127208.33333333333</v>
      </c>
      <c r="W14" s="14">
        <f t="shared" ref="W14" si="35">SUM(W4:W13)</f>
        <v>127208.33333333333</v>
      </c>
      <c r="X14" s="14">
        <f t="shared" ref="X14" si="36">SUM(X4:X13)</f>
        <v>127208.33333333333</v>
      </c>
      <c r="Y14" s="14">
        <f t="shared" ref="Y14" si="37">SUM(Y4:Y13)</f>
        <v>127208.33333333333</v>
      </c>
      <c r="Z14" s="14">
        <f t="shared" ref="Z14" si="38">SUM(Z4:Z13)</f>
        <v>127208.33333333333</v>
      </c>
      <c r="AA14" s="14">
        <f t="shared" ref="AA14" si="39">SUM(AA4:AA13)</f>
        <v>127208.33333333333</v>
      </c>
      <c r="AB14" s="14">
        <f t="shared" ref="AB14" si="40">SUM(AB4:AB13)</f>
        <v>127208.33333333333</v>
      </c>
      <c r="AC14" s="14">
        <f t="shared" ref="AC14" si="41">SUM(AC4:AC13)</f>
        <v>127208.33333333333</v>
      </c>
      <c r="AD14" s="14">
        <f t="shared" ref="AD14" si="42">SUM(AD4:AD13)</f>
        <v>127208.33333333333</v>
      </c>
      <c r="AE14" s="14">
        <f t="shared" ref="AE14" si="43">SUM(AE4:AE13)</f>
        <v>127208.33333333333</v>
      </c>
      <c r="AF14" s="12">
        <f>SUM(T14:AE14)</f>
        <v>1846291.6666666663</v>
      </c>
      <c r="AI14" s="2">
        <v>11</v>
      </c>
      <c r="AJ14" s="9" t="s">
        <v>24</v>
      </c>
      <c r="AK14" s="7">
        <f>8000*3</f>
        <v>24000</v>
      </c>
      <c r="AL14" s="7">
        <f>AK14</f>
        <v>24000</v>
      </c>
      <c r="AM14" s="7">
        <f t="shared" ref="AM14" si="44">AL14</f>
        <v>24000</v>
      </c>
      <c r="AN14" s="7">
        <f t="shared" si="15"/>
        <v>24000</v>
      </c>
      <c r="AO14" s="11">
        <f>SUM(AK14:AN14)</f>
        <v>96000</v>
      </c>
      <c r="AQ14" s="2">
        <v>11</v>
      </c>
      <c r="AR14" s="9" t="s">
        <v>38</v>
      </c>
      <c r="AS14" s="7">
        <f>35000*3</f>
        <v>105000</v>
      </c>
      <c r="AT14" s="7">
        <f>AS14</f>
        <v>105000</v>
      </c>
      <c r="AU14" s="7">
        <f t="shared" si="16"/>
        <v>105000</v>
      </c>
      <c r="AV14" s="7">
        <f t="shared" si="14"/>
        <v>105000</v>
      </c>
      <c r="AW14" s="11">
        <f>SUM(AS14:AV14)</f>
        <v>420000</v>
      </c>
      <c r="AY14" s="2">
        <v>11</v>
      </c>
      <c r="AZ14" s="9" t="s">
        <v>38</v>
      </c>
      <c r="BA14" s="7">
        <f>45000*3</f>
        <v>135000</v>
      </c>
      <c r="BB14" s="7">
        <f>BA14</f>
        <v>135000</v>
      </c>
      <c r="BC14" s="7">
        <f t="shared" si="17"/>
        <v>135000</v>
      </c>
      <c r="BD14" s="7">
        <f t="shared" si="12"/>
        <v>135000</v>
      </c>
      <c r="BE14" s="11">
        <f>SUM(BA14:BD14)</f>
        <v>540000</v>
      </c>
    </row>
    <row r="15" spans="1:57" ht="28.8" x14ac:dyDescent="0.3">
      <c r="A15" s="2">
        <v>1</v>
      </c>
      <c r="B15" s="5" t="s">
        <v>33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2000000</v>
      </c>
      <c r="L15" s="7">
        <v>0</v>
      </c>
      <c r="M15" s="7">
        <v>0</v>
      </c>
      <c r="N15" s="7">
        <v>0</v>
      </c>
      <c r="O15" s="6">
        <f>SUM(C15:N15)</f>
        <v>2000000</v>
      </c>
      <c r="AI15" s="2">
        <v>12</v>
      </c>
      <c r="AJ15" s="9" t="s">
        <v>38</v>
      </c>
      <c r="AK15" s="7">
        <f>25000*3</f>
        <v>75000</v>
      </c>
      <c r="AL15" s="7">
        <f>AK15</f>
        <v>75000</v>
      </c>
      <c r="AM15" s="7">
        <f t="shared" ref="AM15" si="45">AL15</f>
        <v>75000</v>
      </c>
      <c r="AN15" s="7">
        <f t="shared" si="15"/>
        <v>75000</v>
      </c>
      <c r="AO15" s="11">
        <f>SUM(AK15:AN15)</f>
        <v>300000</v>
      </c>
      <c r="AQ15" s="2">
        <v>12</v>
      </c>
      <c r="AR15" s="5" t="s">
        <v>39</v>
      </c>
      <c r="AS15" s="7">
        <f>SUM(AS4:AS5)*0.33</f>
        <v>99000</v>
      </c>
      <c r="AT15" s="7">
        <f>SUM(AT4:AT5)*0.33</f>
        <v>99000</v>
      </c>
      <c r="AU15" s="7">
        <f>SUM(AU4:AU5)*0.33</f>
        <v>99000</v>
      </c>
      <c r="AV15" s="7">
        <f>SUM(AV4:AV5)*0.33</f>
        <v>99000</v>
      </c>
      <c r="AW15" s="11">
        <f>SUM(AS15:AV15)</f>
        <v>396000</v>
      </c>
      <c r="AY15" s="2">
        <v>12</v>
      </c>
      <c r="AZ15" s="5" t="s">
        <v>39</v>
      </c>
      <c r="BA15" s="7">
        <f>SUM(BA4:BA5)*0.33</f>
        <v>118800</v>
      </c>
      <c r="BB15" s="7">
        <f>SUM(BB4:BB5)*0.33</f>
        <v>118800</v>
      </c>
      <c r="BC15" s="7">
        <f>SUM(BC4:BC5)*0.33</f>
        <v>118800</v>
      </c>
      <c r="BD15" s="7">
        <f>SUM(BD4:BD5)*0.33</f>
        <v>118800</v>
      </c>
      <c r="BE15" s="11">
        <f>SUM(BA15:BD15)</f>
        <v>475200</v>
      </c>
    </row>
    <row r="16" spans="1:57" x14ac:dyDescent="0.3">
      <c r="A16" s="2">
        <v>2</v>
      </c>
      <c r="B16" s="5" t="s">
        <v>15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500000</v>
      </c>
      <c r="L16" s="7">
        <v>0</v>
      </c>
      <c r="M16" s="7">
        <v>0</v>
      </c>
      <c r="N16" s="7">
        <v>0</v>
      </c>
      <c r="O16" s="6">
        <f>SUM(C16:N16)</f>
        <v>500000</v>
      </c>
      <c r="R16" s="1" t="s">
        <v>31</v>
      </c>
      <c r="Z16" s="1" t="s">
        <v>17</v>
      </c>
      <c r="AI16" s="2">
        <v>13</v>
      </c>
      <c r="AJ16" s="5" t="s">
        <v>39</v>
      </c>
      <c r="AK16" s="7">
        <f>SUM(AK4:AK5)*0.33</f>
        <v>79200</v>
      </c>
      <c r="AL16" s="7">
        <f t="shared" ref="AL16:AN16" si="46">SUM(AL4:AL5)*0.33</f>
        <v>79200</v>
      </c>
      <c r="AM16" s="7">
        <f t="shared" si="46"/>
        <v>79200</v>
      </c>
      <c r="AN16" s="7">
        <f t="shared" si="46"/>
        <v>79200</v>
      </c>
      <c r="AO16" s="11">
        <f>SUM(AK16:AN16)</f>
        <v>316800</v>
      </c>
      <c r="AQ16" s="15" t="s">
        <v>14</v>
      </c>
      <c r="AR16" s="16"/>
      <c r="AS16" s="14">
        <f>SUM(AS4:AS15)</f>
        <v>1041000</v>
      </c>
      <c r="AT16" s="14">
        <f>SUM(AT4:AT15)</f>
        <v>1041000</v>
      </c>
      <c r="AU16" s="14">
        <f>SUM(AU4:AU15)</f>
        <v>1041000</v>
      </c>
      <c r="AV16" s="14">
        <f>SUM(AV4:AV15)</f>
        <v>1041000</v>
      </c>
      <c r="AW16" s="12">
        <f>SUM(AS16:AV16)</f>
        <v>4164000</v>
      </c>
      <c r="AY16" s="15" t="s">
        <v>14</v>
      </c>
      <c r="AZ16" s="16"/>
      <c r="BA16" s="14">
        <f>SUM(BA4:BA15)</f>
        <v>1315300</v>
      </c>
      <c r="BB16" s="14">
        <f>SUM(BB4:BB15)</f>
        <v>1315300</v>
      </c>
      <c r="BC16" s="14">
        <f>SUM(BC4:BC15)</f>
        <v>1315300</v>
      </c>
      <c r="BD16" s="14">
        <f>SUM(BD4:BD15)</f>
        <v>1315300</v>
      </c>
      <c r="BE16" s="12">
        <f>SUM(BA16:BD16)</f>
        <v>5261200</v>
      </c>
    </row>
    <row r="17" spans="1:57" ht="28.8" x14ac:dyDescent="0.3">
      <c r="A17" s="15" t="s">
        <v>14</v>
      </c>
      <c r="B17" s="16"/>
      <c r="C17" s="14">
        <f t="shared" ref="C17:K17" si="47">SUM(C15:C16)</f>
        <v>0</v>
      </c>
      <c r="D17" s="14">
        <f t="shared" si="47"/>
        <v>0</v>
      </c>
      <c r="E17" s="14">
        <f t="shared" si="47"/>
        <v>0</v>
      </c>
      <c r="F17" s="14">
        <f t="shared" si="47"/>
        <v>0</v>
      </c>
      <c r="G17" s="14">
        <f t="shared" si="47"/>
        <v>0</v>
      </c>
      <c r="H17" s="14">
        <f t="shared" si="47"/>
        <v>0</v>
      </c>
      <c r="I17" s="14">
        <f t="shared" si="47"/>
        <v>0</v>
      </c>
      <c r="J17" s="14">
        <f t="shared" si="47"/>
        <v>0</v>
      </c>
      <c r="K17" s="14">
        <f t="shared" si="47"/>
        <v>2500000</v>
      </c>
      <c r="L17" s="14">
        <f t="shared" ref="L17:N17" si="48">SUM(L15:L16)</f>
        <v>0</v>
      </c>
      <c r="M17" s="14">
        <f t="shared" si="48"/>
        <v>0</v>
      </c>
      <c r="N17" s="14">
        <f t="shared" si="48"/>
        <v>0</v>
      </c>
      <c r="O17" s="17">
        <f>SUM(C17:N17)</f>
        <v>2500000</v>
      </c>
      <c r="R17" s="3" t="s">
        <v>0</v>
      </c>
      <c r="S17" s="3" t="s">
        <v>20</v>
      </c>
      <c r="T17" s="3" t="s">
        <v>2</v>
      </c>
      <c r="U17" s="3" t="s">
        <v>3</v>
      </c>
      <c r="V17" s="3" t="s">
        <v>4</v>
      </c>
      <c r="W17" s="3" t="s">
        <v>5</v>
      </c>
      <c r="X17" s="3" t="s">
        <v>6</v>
      </c>
      <c r="Y17" s="3" t="s">
        <v>7</v>
      </c>
      <c r="Z17" s="3" t="s">
        <v>8</v>
      </c>
      <c r="AA17" s="3" t="s">
        <v>9</v>
      </c>
      <c r="AB17" s="3" t="s">
        <v>10</v>
      </c>
      <c r="AC17" s="3" t="s">
        <v>11</v>
      </c>
      <c r="AD17" s="3" t="s">
        <v>12</v>
      </c>
      <c r="AE17" s="3" t="s">
        <v>13</v>
      </c>
      <c r="AF17" s="10" t="s">
        <v>14</v>
      </c>
      <c r="AI17" s="15" t="s">
        <v>14</v>
      </c>
      <c r="AJ17" s="16"/>
      <c r="AK17" s="14">
        <f>SUM(AK4:AK16)</f>
        <v>922825</v>
      </c>
      <c r="AL17" s="14">
        <f t="shared" ref="AL17" si="49">SUM(AL4:AL16)</f>
        <v>857200</v>
      </c>
      <c r="AM17" s="14">
        <f t="shared" ref="AM17" si="50">SUM(AM4:AM16)</f>
        <v>857200</v>
      </c>
      <c r="AN17" s="14">
        <f t="shared" ref="AN17" si="51">SUM(AN4:AN16)</f>
        <v>857200</v>
      </c>
      <c r="AO17" s="12">
        <f>SUM(AK17:AN17)</f>
        <v>3494425</v>
      </c>
    </row>
    <row r="18" spans="1:57" x14ac:dyDescent="0.3">
      <c r="R18" s="2">
        <v>1</v>
      </c>
      <c r="S18" s="5" t="s">
        <v>25</v>
      </c>
      <c r="T18" s="7">
        <v>15000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11">
        <f>SUM(T18:AE18)</f>
        <v>15000</v>
      </c>
      <c r="AQ18" s="1" t="s">
        <v>46</v>
      </c>
      <c r="AT18" s="1" t="s">
        <v>17</v>
      </c>
      <c r="AY18" s="1" t="s">
        <v>47</v>
      </c>
      <c r="BB18" s="1" t="s">
        <v>17</v>
      </c>
    </row>
    <row r="19" spans="1:57" ht="28.8" x14ac:dyDescent="0.3">
      <c r="R19" s="2">
        <v>2</v>
      </c>
      <c r="S19" s="5" t="s">
        <v>26</v>
      </c>
      <c r="T19" s="7">
        <v>25000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11">
        <f>SUM(T19:AE19)</f>
        <v>25000</v>
      </c>
      <c r="AI19" s="1" t="s">
        <v>45</v>
      </c>
      <c r="AL19" s="1" t="s">
        <v>17</v>
      </c>
      <c r="AQ19" s="3" t="s">
        <v>0</v>
      </c>
      <c r="AR19" s="3" t="s">
        <v>20</v>
      </c>
      <c r="AS19" s="3" t="s">
        <v>40</v>
      </c>
      <c r="AT19" s="3" t="s">
        <v>41</v>
      </c>
      <c r="AU19" s="3" t="s">
        <v>42</v>
      </c>
      <c r="AV19" s="3" t="s">
        <v>43</v>
      </c>
      <c r="AW19" s="10" t="s">
        <v>14</v>
      </c>
      <c r="AY19" s="3" t="s">
        <v>0</v>
      </c>
      <c r="AZ19" s="3" t="s">
        <v>20</v>
      </c>
      <c r="BA19" s="3" t="s">
        <v>40</v>
      </c>
      <c r="BB19" s="3" t="s">
        <v>41</v>
      </c>
      <c r="BC19" s="3" t="s">
        <v>42</v>
      </c>
      <c r="BD19" s="3" t="s">
        <v>43</v>
      </c>
      <c r="BE19" s="10" t="s">
        <v>14</v>
      </c>
    </row>
    <row r="20" spans="1:57" ht="28.8" x14ac:dyDescent="0.3">
      <c r="R20" s="2">
        <v>3</v>
      </c>
      <c r="S20" s="5" t="s">
        <v>21</v>
      </c>
      <c r="T20" s="7">
        <v>6000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11">
        <f>SUM(T20:AE20)</f>
        <v>6000</v>
      </c>
      <c r="AI20" s="3" t="s">
        <v>0</v>
      </c>
      <c r="AJ20" s="3" t="s">
        <v>20</v>
      </c>
      <c r="AK20" s="3" t="s">
        <v>40</v>
      </c>
      <c r="AL20" s="3" t="s">
        <v>41</v>
      </c>
      <c r="AM20" s="3" t="s">
        <v>42</v>
      </c>
      <c r="AN20" s="3" t="s">
        <v>43</v>
      </c>
      <c r="AO20" s="10" t="s">
        <v>14</v>
      </c>
      <c r="AQ20" s="2">
        <v>1</v>
      </c>
      <c r="AR20" s="5" t="s">
        <v>27</v>
      </c>
      <c r="AS20" s="7">
        <f>88000*3</f>
        <v>264000</v>
      </c>
      <c r="AT20" s="7">
        <f>AS20</f>
        <v>264000</v>
      </c>
      <c r="AU20" s="7">
        <f t="shared" ref="AU20:AV20" si="52">AT20</f>
        <v>264000</v>
      </c>
      <c r="AV20" s="7">
        <f t="shared" si="52"/>
        <v>264000</v>
      </c>
      <c r="AW20" s="11">
        <f>SUM(AS20:AV20)</f>
        <v>1056000</v>
      </c>
      <c r="AY20" s="2">
        <v>1</v>
      </c>
      <c r="AZ20" s="5" t="s">
        <v>27</v>
      </c>
      <c r="BA20" s="7">
        <f>120000*3</f>
        <v>360000</v>
      </c>
      <c r="BB20" s="7">
        <f>BA20</f>
        <v>360000</v>
      </c>
      <c r="BC20" s="7">
        <f t="shared" ref="BC20:BD20" si="53">BB20</f>
        <v>360000</v>
      </c>
      <c r="BD20" s="7">
        <f t="shared" si="53"/>
        <v>360000</v>
      </c>
      <c r="BE20" s="11">
        <f>SUM(BA20:BD20)</f>
        <v>1440000</v>
      </c>
    </row>
    <row r="21" spans="1:57" ht="28.8" x14ac:dyDescent="0.3">
      <c r="R21" s="2">
        <v>4</v>
      </c>
      <c r="S21" s="5" t="s">
        <v>28</v>
      </c>
      <c r="T21" s="7">
        <v>15000</v>
      </c>
      <c r="U21" s="7">
        <v>15000</v>
      </c>
      <c r="V21" s="7">
        <v>15000</v>
      </c>
      <c r="W21" s="7">
        <v>15000</v>
      </c>
      <c r="X21" s="7">
        <v>15000</v>
      </c>
      <c r="Y21" s="7">
        <v>15000</v>
      </c>
      <c r="Z21" s="7">
        <v>15000</v>
      </c>
      <c r="AA21" s="7">
        <v>15000</v>
      </c>
      <c r="AB21" s="7">
        <v>15000</v>
      </c>
      <c r="AC21" s="7">
        <v>15000</v>
      </c>
      <c r="AD21" s="7">
        <v>15000</v>
      </c>
      <c r="AE21" s="7">
        <v>15000</v>
      </c>
      <c r="AF21" s="11">
        <f>SUM(T21:AE21)</f>
        <v>180000</v>
      </c>
      <c r="AI21" s="2">
        <v>1</v>
      </c>
      <c r="AJ21" s="5" t="s">
        <v>27</v>
      </c>
      <c r="AK21" s="7">
        <f>70000*3</f>
        <v>210000</v>
      </c>
      <c r="AL21" s="7">
        <f>AK21</f>
        <v>210000</v>
      </c>
      <c r="AM21" s="7">
        <f t="shared" ref="AM21:AN21" si="54">AL21</f>
        <v>210000</v>
      </c>
      <c r="AN21" s="7">
        <f t="shared" si="54"/>
        <v>210000</v>
      </c>
      <c r="AO21" s="11">
        <f>SUM(AK21:AN21)</f>
        <v>840000</v>
      </c>
      <c r="AQ21" s="2">
        <v>2</v>
      </c>
      <c r="AR21" s="8" t="s">
        <v>22</v>
      </c>
      <c r="AS21" s="7">
        <f>45000*3</f>
        <v>135000</v>
      </c>
      <c r="AT21" s="7">
        <f>AS21</f>
        <v>135000</v>
      </c>
      <c r="AU21" s="7">
        <f t="shared" ref="AU21:AV21" si="55">AT21</f>
        <v>135000</v>
      </c>
      <c r="AV21" s="7">
        <f t="shared" si="55"/>
        <v>135000</v>
      </c>
      <c r="AW21" s="11">
        <f>SUM(AS21:AV21)</f>
        <v>540000</v>
      </c>
      <c r="AY21" s="2">
        <v>2</v>
      </c>
      <c r="AZ21" s="8" t="s">
        <v>22</v>
      </c>
      <c r="BA21" s="7">
        <f>70000*3</f>
        <v>210000</v>
      </c>
      <c r="BB21" s="7">
        <f>BA21</f>
        <v>210000</v>
      </c>
      <c r="BC21" s="7">
        <f t="shared" ref="BC21:BD21" si="56">BB21</f>
        <v>210000</v>
      </c>
      <c r="BD21" s="7">
        <f t="shared" si="56"/>
        <v>210000</v>
      </c>
      <c r="BE21" s="11">
        <f>SUM(BA21:BD21)</f>
        <v>840000</v>
      </c>
    </row>
    <row r="22" spans="1:57" ht="28.8" x14ac:dyDescent="0.3">
      <c r="R22" s="2">
        <v>5</v>
      </c>
      <c r="S22" s="5" t="s">
        <v>27</v>
      </c>
      <c r="T22" s="7">
        <v>60000</v>
      </c>
      <c r="U22" s="7">
        <v>60000</v>
      </c>
      <c r="V22" s="7">
        <v>60000</v>
      </c>
      <c r="W22" s="7">
        <v>60000</v>
      </c>
      <c r="X22" s="7">
        <v>60000</v>
      </c>
      <c r="Y22" s="7">
        <v>60000</v>
      </c>
      <c r="Z22" s="7">
        <v>60000</v>
      </c>
      <c r="AA22" s="7">
        <v>60000</v>
      </c>
      <c r="AB22" s="7">
        <v>60000</v>
      </c>
      <c r="AC22" s="7">
        <v>60000</v>
      </c>
      <c r="AD22" s="7">
        <v>60000</v>
      </c>
      <c r="AE22" s="7">
        <v>60000</v>
      </c>
      <c r="AF22" s="11">
        <f t="shared" ref="AF22:AF23" si="57">SUM(T22:AE22)</f>
        <v>720000</v>
      </c>
      <c r="AI22" s="2">
        <v>2</v>
      </c>
      <c r="AJ22" s="8" t="s">
        <v>22</v>
      </c>
      <c r="AK22" s="7">
        <f>25000*3</f>
        <v>75000</v>
      </c>
      <c r="AL22" s="7">
        <f>AK22</f>
        <v>75000</v>
      </c>
      <c r="AM22" s="7">
        <f t="shared" ref="AM22:AN22" si="58">AL22</f>
        <v>75000</v>
      </c>
      <c r="AN22" s="7">
        <f t="shared" si="58"/>
        <v>75000</v>
      </c>
      <c r="AO22" s="11">
        <f>SUM(AK22:AN22)</f>
        <v>300000</v>
      </c>
      <c r="AQ22" s="2">
        <v>3</v>
      </c>
      <c r="AR22" s="5" t="s">
        <v>35</v>
      </c>
      <c r="AS22" s="7">
        <f>3500*3</f>
        <v>10500</v>
      </c>
      <c r="AT22" s="7">
        <f>AS22</f>
        <v>10500</v>
      </c>
      <c r="AU22" s="7">
        <f t="shared" ref="AU22:AV22" si="59">AT22</f>
        <v>10500</v>
      </c>
      <c r="AV22" s="7">
        <f t="shared" si="59"/>
        <v>10500</v>
      </c>
      <c r="AW22" s="11">
        <f>SUM(AS22:AV22)</f>
        <v>42000</v>
      </c>
      <c r="AY22" s="2">
        <v>3</v>
      </c>
      <c r="AZ22" s="5" t="s">
        <v>35</v>
      </c>
      <c r="BA22" s="7">
        <f>4500*3</f>
        <v>13500</v>
      </c>
      <c r="BB22" s="7">
        <f>BA22</f>
        <v>13500</v>
      </c>
      <c r="BC22" s="7">
        <f t="shared" ref="BC22:BD22" si="60">BB22</f>
        <v>13500</v>
      </c>
      <c r="BD22" s="7">
        <f t="shared" si="60"/>
        <v>13500</v>
      </c>
      <c r="BE22" s="11">
        <f>SUM(BA22:BD22)</f>
        <v>54000</v>
      </c>
    </row>
    <row r="23" spans="1:57" x14ac:dyDescent="0.3">
      <c r="R23" s="2">
        <v>6</v>
      </c>
      <c r="S23" s="8" t="s">
        <v>22</v>
      </c>
      <c r="T23" s="7">
        <v>20000</v>
      </c>
      <c r="U23" s="7">
        <v>20000</v>
      </c>
      <c r="V23" s="7">
        <v>20000</v>
      </c>
      <c r="W23" s="7">
        <v>20000</v>
      </c>
      <c r="X23" s="7">
        <v>20000</v>
      </c>
      <c r="Y23" s="7">
        <v>20000</v>
      </c>
      <c r="Z23" s="7">
        <v>20000</v>
      </c>
      <c r="AA23" s="7">
        <v>20000</v>
      </c>
      <c r="AB23" s="7">
        <v>20000</v>
      </c>
      <c r="AC23" s="7">
        <v>20000</v>
      </c>
      <c r="AD23" s="7">
        <v>20000</v>
      </c>
      <c r="AE23" s="7">
        <v>20000</v>
      </c>
      <c r="AF23" s="11">
        <f t="shared" si="57"/>
        <v>240000</v>
      </c>
      <c r="AI23" s="2">
        <v>3</v>
      </c>
      <c r="AJ23" s="5" t="s">
        <v>35</v>
      </c>
      <c r="AK23" s="7">
        <f>2500*3</f>
        <v>7500</v>
      </c>
      <c r="AL23" s="7">
        <f>AK23</f>
        <v>7500</v>
      </c>
      <c r="AM23" s="7">
        <f t="shared" ref="AM23:AN23" si="61">AL23</f>
        <v>7500</v>
      </c>
      <c r="AN23" s="7">
        <f t="shared" si="61"/>
        <v>7500</v>
      </c>
      <c r="AO23" s="11">
        <f>SUM(AK23:AN23)</f>
        <v>30000</v>
      </c>
      <c r="AQ23" s="2">
        <v>4</v>
      </c>
      <c r="AR23" s="5" t="s">
        <v>28</v>
      </c>
      <c r="AS23" s="7">
        <f>25000*3</f>
        <v>75000</v>
      </c>
      <c r="AT23" s="7">
        <f>AS23</f>
        <v>75000</v>
      </c>
      <c r="AU23" s="7">
        <f t="shared" ref="AU23:AV23" si="62">AT23</f>
        <v>75000</v>
      </c>
      <c r="AV23" s="7">
        <f t="shared" si="62"/>
        <v>75000</v>
      </c>
      <c r="AW23" s="11">
        <f>SUM(AS23:AV23)</f>
        <v>300000</v>
      </c>
      <c r="AY23" s="2">
        <v>4</v>
      </c>
      <c r="AZ23" s="5" t="s">
        <v>28</v>
      </c>
      <c r="BA23" s="7">
        <f>30000*3</f>
        <v>90000</v>
      </c>
      <c r="BB23" s="7">
        <f>BA23</f>
        <v>90000</v>
      </c>
      <c r="BC23" s="7">
        <f t="shared" ref="BC23:BD30" si="63">BB23</f>
        <v>90000</v>
      </c>
      <c r="BD23" s="7">
        <f t="shared" si="63"/>
        <v>90000</v>
      </c>
      <c r="BE23" s="11">
        <f>SUM(BA23:BD23)</f>
        <v>360000</v>
      </c>
    </row>
    <row r="24" spans="1:57" ht="28.8" x14ac:dyDescent="0.3">
      <c r="R24" s="2">
        <v>7</v>
      </c>
      <c r="S24" s="5" t="s">
        <v>23</v>
      </c>
      <c r="T24" s="7">
        <v>350000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11">
        <f>SUM(T24:AE24)</f>
        <v>350000</v>
      </c>
      <c r="AI24" s="2">
        <v>4</v>
      </c>
      <c r="AJ24" s="5" t="s">
        <v>28</v>
      </c>
      <c r="AK24" s="7">
        <f>15000*3</f>
        <v>45000</v>
      </c>
      <c r="AL24" s="7">
        <f>AK24</f>
        <v>45000</v>
      </c>
      <c r="AM24" s="7">
        <f t="shared" ref="AM24:AN24" si="64">AL24</f>
        <v>45000</v>
      </c>
      <c r="AN24" s="7">
        <f t="shared" si="64"/>
        <v>45000</v>
      </c>
      <c r="AO24" s="11">
        <f>SUM(AK24:AN24)</f>
        <v>180000</v>
      </c>
      <c r="AQ24" s="2">
        <v>5</v>
      </c>
      <c r="AR24" s="5" t="s">
        <v>29</v>
      </c>
      <c r="AS24" s="7">
        <f>AN26</f>
        <v>28125</v>
      </c>
      <c r="AT24" s="7">
        <f>AS24</f>
        <v>28125</v>
      </c>
      <c r="AU24" s="7">
        <f>AT24</f>
        <v>28125</v>
      </c>
      <c r="AV24" s="7">
        <f t="shared" ref="AV24:AV30" si="65">AU24</f>
        <v>28125</v>
      </c>
      <c r="AW24" s="11">
        <f>SUM(AS24:AV24)</f>
        <v>112500</v>
      </c>
      <c r="AY24" s="2">
        <v>5</v>
      </c>
      <c r="AZ24" s="5" t="s">
        <v>29</v>
      </c>
      <c r="BA24" s="7">
        <f>AV24</f>
        <v>28125</v>
      </c>
      <c r="BB24" s="7">
        <f>BA24</f>
        <v>28125</v>
      </c>
      <c r="BC24" s="7">
        <f>BB24</f>
        <v>28125</v>
      </c>
      <c r="BD24" s="7">
        <f t="shared" si="63"/>
        <v>28125</v>
      </c>
      <c r="BE24" s="11">
        <f>SUM(BA24:BD24)</f>
        <v>112500</v>
      </c>
    </row>
    <row r="25" spans="1:57" ht="28.8" x14ac:dyDescent="0.3">
      <c r="R25" s="2">
        <v>8</v>
      </c>
      <c r="S25" s="5" t="s">
        <v>29</v>
      </c>
      <c r="T25" s="7">
        <v>0</v>
      </c>
      <c r="U25" s="7">
        <f>T24*1/4*1/12</f>
        <v>7291.666666666667</v>
      </c>
      <c r="V25" s="7">
        <f>U25</f>
        <v>7291.666666666667</v>
      </c>
      <c r="W25" s="7">
        <f t="shared" ref="W25" si="66">V25</f>
        <v>7291.666666666667</v>
      </c>
      <c r="X25" s="7">
        <f t="shared" ref="X25" si="67">W25</f>
        <v>7291.666666666667</v>
      </c>
      <c r="Y25" s="7">
        <f t="shared" ref="Y25" si="68">X25</f>
        <v>7291.666666666667</v>
      </c>
      <c r="Z25" s="7">
        <f t="shared" ref="Z25" si="69">Y25</f>
        <v>7291.666666666667</v>
      </c>
      <c r="AA25" s="7">
        <f t="shared" ref="AA25" si="70">Z25</f>
        <v>7291.666666666667</v>
      </c>
      <c r="AB25" s="7">
        <f t="shared" ref="AB25" si="71">AA25</f>
        <v>7291.666666666667</v>
      </c>
      <c r="AC25" s="7">
        <f t="shared" ref="AC25" si="72">AB25</f>
        <v>7291.666666666667</v>
      </c>
      <c r="AD25" s="7">
        <f t="shared" ref="AD25" si="73">AC25</f>
        <v>7291.666666666667</v>
      </c>
      <c r="AE25" s="7">
        <f t="shared" ref="AE25" si="74">AD25</f>
        <v>7291.666666666667</v>
      </c>
      <c r="AF25" s="11">
        <f>SUM(T25:AE25)</f>
        <v>80208.333333333343</v>
      </c>
      <c r="AI25" s="2">
        <v>5</v>
      </c>
      <c r="AJ25" s="5" t="s">
        <v>34</v>
      </c>
      <c r="AK25" s="7">
        <v>100000</v>
      </c>
      <c r="AL25" s="7">
        <v>0</v>
      </c>
      <c r="AM25" s="7">
        <v>0</v>
      </c>
      <c r="AN25" s="7">
        <v>0</v>
      </c>
      <c r="AO25" s="11">
        <f>SUM(AK25:AN25)</f>
        <v>100000</v>
      </c>
      <c r="AQ25" s="2">
        <v>6</v>
      </c>
      <c r="AR25" s="5" t="s">
        <v>36</v>
      </c>
      <c r="AS25" s="7">
        <f>650000/4</f>
        <v>162500</v>
      </c>
      <c r="AT25" s="7">
        <f>AS25</f>
        <v>162500</v>
      </c>
      <c r="AU25" s="7">
        <f t="shared" ref="AU25:AV25" si="75">AT25</f>
        <v>162500</v>
      </c>
      <c r="AV25" s="7">
        <f t="shared" si="65"/>
        <v>162500</v>
      </c>
      <c r="AW25" s="11">
        <f>SUM(AS25:AV25)</f>
        <v>650000</v>
      </c>
      <c r="AY25" s="2">
        <v>6</v>
      </c>
      <c r="AZ25" s="5" t="s">
        <v>36</v>
      </c>
      <c r="BA25" s="7">
        <f>1000000/4</f>
        <v>250000</v>
      </c>
      <c r="BB25" s="7">
        <f>BA25</f>
        <v>250000</v>
      </c>
      <c r="BC25" s="7">
        <f t="shared" ref="BC25:BD25" si="76">BB25</f>
        <v>250000</v>
      </c>
      <c r="BD25" s="7">
        <f t="shared" si="63"/>
        <v>250000</v>
      </c>
      <c r="BE25" s="11">
        <f>SUM(BA25:BD25)</f>
        <v>1000000</v>
      </c>
    </row>
    <row r="26" spans="1:57" ht="28.8" x14ac:dyDescent="0.3">
      <c r="R26" s="2">
        <v>9</v>
      </c>
      <c r="S26" s="5" t="s">
        <v>30</v>
      </c>
      <c r="T26" s="7">
        <v>20000</v>
      </c>
      <c r="U26" s="7">
        <v>20000</v>
      </c>
      <c r="V26" s="7">
        <v>20000</v>
      </c>
      <c r="W26" s="7">
        <v>20000</v>
      </c>
      <c r="X26" s="7">
        <v>20000</v>
      </c>
      <c r="Y26" s="7">
        <v>20000</v>
      </c>
      <c r="Z26" s="7">
        <v>20000</v>
      </c>
      <c r="AA26" s="7">
        <v>20000</v>
      </c>
      <c r="AB26" s="7">
        <v>20000</v>
      </c>
      <c r="AC26" s="7">
        <v>20000</v>
      </c>
      <c r="AD26" s="7">
        <v>20000</v>
      </c>
      <c r="AE26" s="7">
        <v>20000</v>
      </c>
      <c r="AF26" s="11">
        <f>SUM(T26:AE26)</f>
        <v>240000</v>
      </c>
      <c r="AI26" s="2">
        <v>6</v>
      </c>
      <c r="AJ26" s="5" t="s">
        <v>29</v>
      </c>
      <c r="AK26" s="7">
        <f>AE25*3</f>
        <v>21875</v>
      </c>
      <c r="AL26" s="7">
        <f>AK26+(AK25*1/4*1/12)*3</f>
        <v>28125</v>
      </c>
      <c r="AM26" s="7">
        <f>AL26</f>
        <v>28125</v>
      </c>
      <c r="AN26" s="7">
        <f t="shared" ref="AN26:AN32" si="77">AM26</f>
        <v>28125</v>
      </c>
      <c r="AO26" s="11">
        <f>SUM(AK26:AN26)</f>
        <v>106250</v>
      </c>
      <c r="AQ26" s="2">
        <v>7</v>
      </c>
      <c r="AR26" s="5" t="s">
        <v>37</v>
      </c>
      <c r="AS26" s="7">
        <f>500000/4</f>
        <v>125000</v>
      </c>
      <c r="AT26" s="7">
        <f>AS26</f>
        <v>125000</v>
      </c>
      <c r="AU26" s="7">
        <f t="shared" ref="AU26:AV26" si="78">AT26</f>
        <v>125000</v>
      </c>
      <c r="AV26" s="7">
        <f t="shared" si="65"/>
        <v>125000</v>
      </c>
      <c r="AW26" s="11">
        <f>SUM(AS26:AV26)</f>
        <v>500000</v>
      </c>
      <c r="AY26" s="2">
        <v>7</v>
      </c>
      <c r="AZ26" s="5" t="s">
        <v>37</v>
      </c>
      <c r="BA26" s="7">
        <f>600000/4</f>
        <v>150000</v>
      </c>
      <c r="BB26" s="7">
        <f>BA26</f>
        <v>150000</v>
      </c>
      <c r="BC26" s="7">
        <f t="shared" ref="BC26:BD26" si="79">BB26</f>
        <v>150000</v>
      </c>
      <c r="BD26" s="7">
        <f t="shared" si="63"/>
        <v>150000</v>
      </c>
      <c r="BE26" s="11">
        <f>SUM(BA26:BD26)</f>
        <v>600000</v>
      </c>
    </row>
    <row r="27" spans="1:57" ht="28.8" x14ac:dyDescent="0.3">
      <c r="R27" s="2">
        <v>10</v>
      </c>
      <c r="S27" s="9" t="s">
        <v>24</v>
      </c>
      <c r="T27" s="7">
        <v>5000</v>
      </c>
      <c r="U27" s="7">
        <v>5000</v>
      </c>
      <c r="V27" s="7">
        <v>5000</v>
      </c>
      <c r="W27" s="7">
        <v>5000</v>
      </c>
      <c r="X27" s="7">
        <v>5000</v>
      </c>
      <c r="Y27" s="7">
        <v>5000</v>
      </c>
      <c r="Z27" s="7">
        <v>5000</v>
      </c>
      <c r="AA27" s="7">
        <v>5000</v>
      </c>
      <c r="AB27" s="7">
        <v>5000</v>
      </c>
      <c r="AC27" s="7">
        <v>5000</v>
      </c>
      <c r="AD27" s="7">
        <v>5000</v>
      </c>
      <c r="AE27" s="7">
        <v>5000</v>
      </c>
      <c r="AF27" s="11">
        <f>SUM(T27:AE27)</f>
        <v>60000</v>
      </c>
      <c r="AI27" s="2">
        <v>7</v>
      </c>
      <c r="AJ27" s="5" t="s">
        <v>36</v>
      </c>
      <c r="AK27" s="7">
        <f>450000/4</f>
        <v>112500</v>
      </c>
      <c r="AL27" s="7">
        <f>AK27</f>
        <v>112500</v>
      </c>
      <c r="AM27" s="7">
        <f t="shared" ref="AM27" si="80">AL27</f>
        <v>112500</v>
      </c>
      <c r="AN27" s="7">
        <f t="shared" si="77"/>
        <v>112500</v>
      </c>
      <c r="AO27" s="11">
        <f>SUM(AK27:AN27)</f>
        <v>450000</v>
      </c>
      <c r="AQ27" s="2">
        <v>8</v>
      </c>
      <c r="AR27" s="5" t="s">
        <v>44</v>
      </c>
      <c r="AS27" s="7">
        <f>520000/4</f>
        <v>130000</v>
      </c>
      <c r="AT27" s="7">
        <f>AS27</f>
        <v>130000</v>
      </c>
      <c r="AU27" s="7">
        <f t="shared" ref="AU27:AV27" si="81">AT27</f>
        <v>130000</v>
      </c>
      <c r="AV27" s="7">
        <f t="shared" si="65"/>
        <v>130000</v>
      </c>
      <c r="AW27" s="11">
        <f>SUM(AS27:AV27)</f>
        <v>520000</v>
      </c>
      <c r="AY27" s="2">
        <v>8</v>
      </c>
      <c r="AZ27" s="5" t="s">
        <v>44</v>
      </c>
      <c r="BA27" s="7">
        <f>600000/4</f>
        <v>150000</v>
      </c>
      <c r="BB27" s="7">
        <f>BA27</f>
        <v>150000</v>
      </c>
      <c r="BC27" s="7">
        <f t="shared" ref="BC27:BD27" si="82">BB27</f>
        <v>150000</v>
      </c>
      <c r="BD27" s="7">
        <f t="shared" si="63"/>
        <v>150000</v>
      </c>
      <c r="BE27" s="11">
        <f>SUM(BA27:BD27)</f>
        <v>600000</v>
      </c>
    </row>
    <row r="28" spans="1:57" ht="28.8" x14ac:dyDescent="0.3">
      <c r="R28" s="15" t="s">
        <v>14</v>
      </c>
      <c r="S28" s="16"/>
      <c r="T28" s="14">
        <f>SUM(T18:T27)</f>
        <v>516000</v>
      </c>
      <c r="U28" s="14">
        <f t="shared" ref="U28" si="83">SUM(U18:U27)</f>
        <v>127291.66666666667</v>
      </c>
      <c r="V28" s="14">
        <f t="shared" ref="V28" si="84">SUM(V18:V27)</f>
        <v>127291.66666666667</v>
      </c>
      <c r="W28" s="14">
        <f t="shared" ref="W28" si="85">SUM(W18:W27)</f>
        <v>127291.66666666667</v>
      </c>
      <c r="X28" s="14">
        <f t="shared" ref="X28" si="86">SUM(X18:X27)</f>
        <v>127291.66666666667</v>
      </c>
      <c r="Y28" s="14">
        <f t="shared" ref="Y28" si="87">SUM(Y18:Y27)</f>
        <v>127291.66666666667</v>
      </c>
      <c r="Z28" s="14">
        <f t="shared" ref="Z28" si="88">SUM(Z18:Z27)</f>
        <v>127291.66666666667</v>
      </c>
      <c r="AA28" s="14">
        <f t="shared" ref="AA28" si="89">SUM(AA18:AA27)</f>
        <v>127291.66666666667</v>
      </c>
      <c r="AB28" s="14">
        <f t="shared" ref="AB28" si="90">SUM(AB18:AB27)</f>
        <v>127291.66666666667</v>
      </c>
      <c r="AC28" s="14">
        <f t="shared" ref="AC28" si="91">SUM(AC18:AC27)</f>
        <v>127291.66666666667</v>
      </c>
      <c r="AD28" s="14">
        <f t="shared" ref="AD28" si="92">SUM(AD18:AD27)</f>
        <v>127291.66666666667</v>
      </c>
      <c r="AE28" s="14">
        <f t="shared" ref="AE28" si="93">SUM(AE18:AE27)</f>
        <v>127291.66666666667</v>
      </c>
      <c r="AF28" s="12">
        <f>SUM(T28:AE28)</f>
        <v>1916208.3333333337</v>
      </c>
      <c r="AI28" s="2">
        <v>8</v>
      </c>
      <c r="AJ28" s="5" t="s">
        <v>37</v>
      </c>
      <c r="AK28" s="7">
        <f>400000/4</f>
        <v>100000</v>
      </c>
      <c r="AL28" s="7">
        <f>AK28</f>
        <v>100000</v>
      </c>
      <c r="AM28" s="7">
        <f t="shared" ref="AM28" si="94">AL28</f>
        <v>100000</v>
      </c>
      <c r="AN28" s="7">
        <f t="shared" si="77"/>
        <v>100000</v>
      </c>
      <c r="AO28" s="11">
        <f>SUM(AK28:AN28)</f>
        <v>400000</v>
      </c>
      <c r="AQ28" s="2">
        <v>9</v>
      </c>
      <c r="AR28" s="5" t="s">
        <v>30</v>
      </c>
      <c r="AS28" s="7">
        <f>35000*3</f>
        <v>105000</v>
      </c>
      <c r="AT28" s="7">
        <f>AS28</f>
        <v>105000</v>
      </c>
      <c r="AU28" s="7">
        <f t="shared" ref="AU28:AV28" si="95">AT28</f>
        <v>105000</v>
      </c>
      <c r="AV28" s="7">
        <f t="shared" si="65"/>
        <v>105000</v>
      </c>
      <c r="AW28" s="11">
        <f>SUM(AS28:AV28)</f>
        <v>420000</v>
      </c>
      <c r="AY28" s="2">
        <v>9</v>
      </c>
      <c r="AZ28" s="5" t="s">
        <v>30</v>
      </c>
      <c r="BA28" s="7">
        <f>55000*3</f>
        <v>165000</v>
      </c>
      <c r="BB28" s="7">
        <f>BA28</f>
        <v>165000</v>
      </c>
      <c r="BC28" s="7">
        <f t="shared" ref="BC28:BD28" si="96">BB28</f>
        <v>165000</v>
      </c>
      <c r="BD28" s="7">
        <f t="shared" si="63"/>
        <v>165000</v>
      </c>
      <c r="BE28" s="11">
        <f>SUM(BA28:BD28)</f>
        <v>660000</v>
      </c>
    </row>
    <row r="29" spans="1:57" x14ac:dyDescent="0.3">
      <c r="AI29" s="2">
        <v>9</v>
      </c>
      <c r="AJ29" s="5" t="s">
        <v>44</v>
      </c>
      <c r="AK29" s="7">
        <f>300000/4</f>
        <v>75000</v>
      </c>
      <c r="AL29" s="7">
        <f>AK29</f>
        <v>75000</v>
      </c>
      <c r="AM29" s="7">
        <f t="shared" ref="AM29" si="97">AL29</f>
        <v>75000</v>
      </c>
      <c r="AN29" s="7">
        <f t="shared" si="77"/>
        <v>75000</v>
      </c>
      <c r="AO29" s="11">
        <f>SUM(AK29:AN29)</f>
        <v>300000</v>
      </c>
      <c r="AQ29" s="2">
        <v>10</v>
      </c>
      <c r="AR29" s="9" t="s">
        <v>24</v>
      </c>
      <c r="AS29" s="7">
        <f>7000*3</f>
        <v>21000</v>
      </c>
      <c r="AT29" s="7">
        <f>AS29</f>
        <v>21000</v>
      </c>
      <c r="AU29" s="7">
        <f t="shared" ref="AU29:AV29" si="98">AT29</f>
        <v>21000</v>
      </c>
      <c r="AV29" s="7">
        <f t="shared" si="65"/>
        <v>21000</v>
      </c>
      <c r="AW29" s="11">
        <f>SUM(AS29:AV29)</f>
        <v>84000</v>
      </c>
      <c r="AY29" s="2">
        <v>10</v>
      </c>
      <c r="AZ29" s="9" t="s">
        <v>24</v>
      </c>
      <c r="BA29" s="7">
        <f>8000*3</f>
        <v>24000</v>
      </c>
      <c r="BB29" s="7">
        <f>BA29</f>
        <v>24000</v>
      </c>
      <c r="BC29" s="7">
        <f t="shared" ref="BC29:BD29" si="99">BB29</f>
        <v>24000</v>
      </c>
      <c r="BD29" s="7">
        <f t="shared" si="63"/>
        <v>24000</v>
      </c>
      <c r="BE29" s="11">
        <f>SUM(BA29:BD29)</f>
        <v>96000</v>
      </c>
    </row>
    <row r="30" spans="1:57" ht="28.8" x14ac:dyDescent="0.3">
      <c r="R30" s="1" t="s">
        <v>31</v>
      </c>
      <c r="Z30" s="1" t="s">
        <v>18</v>
      </c>
      <c r="AI30" s="2">
        <v>10</v>
      </c>
      <c r="AJ30" s="5" t="s">
        <v>30</v>
      </c>
      <c r="AK30" s="7">
        <f>25000*3</f>
        <v>75000</v>
      </c>
      <c r="AL30" s="7">
        <f>AK30</f>
        <v>75000</v>
      </c>
      <c r="AM30" s="7">
        <f t="shared" ref="AM30" si="100">AL30</f>
        <v>75000</v>
      </c>
      <c r="AN30" s="7">
        <f t="shared" si="77"/>
        <v>75000</v>
      </c>
      <c r="AO30" s="11">
        <f>SUM(AK30:AN30)</f>
        <v>300000</v>
      </c>
      <c r="AQ30" s="2">
        <v>11</v>
      </c>
      <c r="AR30" s="9" t="s">
        <v>38</v>
      </c>
      <c r="AS30" s="7">
        <f>25000*3</f>
        <v>75000</v>
      </c>
      <c r="AT30" s="7">
        <f>AS30</f>
        <v>75000</v>
      </c>
      <c r="AU30" s="7">
        <f t="shared" ref="AU30:AV30" si="101">AT30</f>
        <v>75000</v>
      </c>
      <c r="AV30" s="7">
        <f t="shared" si="65"/>
        <v>75000</v>
      </c>
      <c r="AW30" s="11">
        <f>SUM(AS30:AV30)</f>
        <v>300000</v>
      </c>
      <c r="AY30" s="2">
        <v>11</v>
      </c>
      <c r="AZ30" s="9" t="s">
        <v>38</v>
      </c>
      <c r="BA30" s="7">
        <f>35000*3</f>
        <v>105000</v>
      </c>
      <c r="BB30" s="7">
        <f>BA30</f>
        <v>105000</v>
      </c>
      <c r="BC30" s="7">
        <f t="shared" ref="BC30:BD30" si="102">BB30</f>
        <v>105000</v>
      </c>
      <c r="BD30" s="7">
        <f t="shared" si="63"/>
        <v>105000</v>
      </c>
      <c r="BE30" s="11">
        <f>SUM(BA30:BD30)</f>
        <v>420000</v>
      </c>
    </row>
    <row r="31" spans="1:57" ht="28.8" x14ac:dyDescent="0.3">
      <c r="R31" s="3" t="s">
        <v>0</v>
      </c>
      <c r="S31" s="3" t="s">
        <v>20</v>
      </c>
      <c r="T31" s="3" t="s">
        <v>2</v>
      </c>
      <c r="U31" s="3" t="s">
        <v>3</v>
      </c>
      <c r="V31" s="3" t="s">
        <v>4</v>
      </c>
      <c r="W31" s="3" t="s">
        <v>5</v>
      </c>
      <c r="X31" s="3" t="s">
        <v>6</v>
      </c>
      <c r="Y31" s="3" t="s">
        <v>7</v>
      </c>
      <c r="Z31" s="3" t="s">
        <v>8</v>
      </c>
      <c r="AA31" s="3" t="s">
        <v>9</v>
      </c>
      <c r="AB31" s="3" t="s">
        <v>10</v>
      </c>
      <c r="AC31" s="3" t="s">
        <v>11</v>
      </c>
      <c r="AD31" s="3" t="s">
        <v>12</v>
      </c>
      <c r="AE31" s="3" t="s">
        <v>13</v>
      </c>
      <c r="AF31" s="10" t="s">
        <v>14</v>
      </c>
      <c r="AI31" s="2">
        <v>11</v>
      </c>
      <c r="AJ31" s="9" t="s">
        <v>24</v>
      </c>
      <c r="AK31" s="7">
        <f>6000*3</f>
        <v>18000</v>
      </c>
      <c r="AL31" s="7">
        <f>AK31</f>
        <v>18000</v>
      </c>
      <c r="AM31" s="7">
        <f t="shared" ref="AM31" si="103">AL31</f>
        <v>18000</v>
      </c>
      <c r="AN31" s="7">
        <f t="shared" si="77"/>
        <v>18000</v>
      </c>
      <c r="AO31" s="11">
        <f>SUM(AK31:AN31)</f>
        <v>72000</v>
      </c>
      <c r="AQ31" s="2">
        <v>12</v>
      </c>
      <c r="AR31" s="5" t="s">
        <v>39</v>
      </c>
      <c r="AS31" s="7">
        <f>SUM(AS20:AS21)*0.33</f>
        <v>131670</v>
      </c>
      <c r="AT31" s="7">
        <f>SUM(AT20:AT21)*0.33</f>
        <v>131670</v>
      </c>
      <c r="AU31" s="7">
        <f>SUM(AU20:AU21)*0.33</f>
        <v>131670</v>
      </c>
      <c r="AV31" s="7">
        <f>SUM(AV20:AV21)*0.33</f>
        <v>131670</v>
      </c>
      <c r="AW31" s="11">
        <f>SUM(AS31:AV31)</f>
        <v>526680</v>
      </c>
      <c r="AY31" s="2">
        <v>12</v>
      </c>
      <c r="AZ31" s="5" t="s">
        <v>39</v>
      </c>
      <c r="BA31" s="7">
        <f>SUM(BA20:BA21)*0.33</f>
        <v>188100</v>
      </c>
      <c r="BB31" s="7">
        <f>SUM(BB20:BB21)*0.33</f>
        <v>188100</v>
      </c>
      <c r="BC31" s="7">
        <f>SUM(BC20:BC21)*0.33</f>
        <v>188100</v>
      </c>
      <c r="BD31" s="7">
        <f>SUM(BD20:BD21)*0.33</f>
        <v>188100</v>
      </c>
      <c r="BE31" s="11">
        <f>SUM(BA31:BD31)</f>
        <v>752400</v>
      </c>
    </row>
    <row r="32" spans="1:57" ht="28.8" x14ac:dyDescent="0.3">
      <c r="R32" s="2">
        <v>1</v>
      </c>
      <c r="S32" s="5" t="s">
        <v>25</v>
      </c>
      <c r="T32" s="7">
        <v>13000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11">
        <f>SUM(T32:AE32)</f>
        <v>13000</v>
      </c>
      <c r="AI32" s="2">
        <v>12</v>
      </c>
      <c r="AJ32" s="9" t="s">
        <v>38</v>
      </c>
      <c r="AK32" s="7">
        <f>15000*3</f>
        <v>45000</v>
      </c>
      <c r="AL32" s="7">
        <f>AK32</f>
        <v>45000</v>
      </c>
      <c r="AM32" s="7">
        <f t="shared" ref="AM32:AN32" si="104">AL32</f>
        <v>45000</v>
      </c>
      <c r="AN32" s="7">
        <f t="shared" si="77"/>
        <v>45000</v>
      </c>
      <c r="AO32" s="11">
        <f>SUM(AK32:AN32)</f>
        <v>180000</v>
      </c>
      <c r="AQ32" s="15" t="s">
        <v>14</v>
      </c>
      <c r="AR32" s="16"/>
      <c r="AS32" s="14">
        <f>SUM(AS20:AS31)</f>
        <v>1262795</v>
      </c>
      <c r="AT32" s="14">
        <f>SUM(AT20:AT31)</f>
        <v>1262795</v>
      </c>
      <c r="AU32" s="14">
        <f>SUM(AU20:AU31)</f>
        <v>1262795</v>
      </c>
      <c r="AV32" s="14">
        <f>SUM(AV20:AV31)</f>
        <v>1262795</v>
      </c>
      <c r="AW32" s="12">
        <f>SUM(AS32:AV32)</f>
        <v>5051180</v>
      </c>
      <c r="AY32" s="15" t="s">
        <v>14</v>
      </c>
      <c r="AZ32" s="16"/>
      <c r="BA32" s="14">
        <f>SUM(BA20:BA31)</f>
        <v>1733725</v>
      </c>
      <c r="BB32" s="14">
        <f>SUM(BB20:BB31)</f>
        <v>1733725</v>
      </c>
      <c r="BC32" s="14">
        <f>SUM(BC20:BC31)</f>
        <v>1733725</v>
      </c>
      <c r="BD32" s="14">
        <f>SUM(BD20:BD31)</f>
        <v>1733725</v>
      </c>
      <c r="BE32" s="12">
        <f>SUM(BA32:BD32)</f>
        <v>6934900</v>
      </c>
    </row>
    <row r="33" spans="18:57" x14ac:dyDescent="0.3">
      <c r="R33" s="2">
        <v>2</v>
      </c>
      <c r="S33" s="5" t="s">
        <v>26</v>
      </c>
      <c r="T33" s="7">
        <v>5000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11">
        <f>SUM(T33:AE33)</f>
        <v>5000</v>
      </c>
      <c r="AI33" s="2">
        <v>13</v>
      </c>
      <c r="AJ33" s="5" t="s">
        <v>39</v>
      </c>
      <c r="AK33" s="7">
        <f>SUM(AK21:AK22)*0.33</f>
        <v>94050</v>
      </c>
      <c r="AL33" s="7">
        <f t="shared" ref="AL33:AN33" si="105">SUM(AL21:AL22)*0.33</f>
        <v>94050</v>
      </c>
      <c r="AM33" s="7">
        <f t="shared" si="105"/>
        <v>94050</v>
      </c>
      <c r="AN33" s="7">
        <f t="shared" si="105"/>
        <v>94050</v>
      </c>
      <c r="AO33" s="11">
        <f>SUM(AK33:AN33)</f>
        <v>376200</v>
      </c>
    </row>
    <row r="34" spans="18:57" x14ac:dyDescent="0.3">
      <c r="R34" s="2">
        <v>3</v>
      </c>
      <c r="S34" s="5" t="s">
        <v>21</v>
      </c>
      <c r="T34" s="7">
        <v>5000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11">
        <f>SUM(T34:AE34)</f>
        <v>5000</v>
      </c>
      <c r="AI34" s="15" t="s">
        <v>14</v>
      </c>
      <c r="AJ34" s="16"/>
      <c r="AK34" s="14">
        <f>SUM(AK21:AK33)</f>
        <v>978925</v>
      </c>
      <c r="AL34" s="14">
        <f t="shared" ref="AL34:AN34" si="106">SUM(AL21:AL33)</f>
        <v>885175</v>
      </c>
      <c r="AM34" s="14">
        <f t="shared" si="106"/>
        <v>885175</v>
      </c>
      <c r="AN34" s="14">
        <f t="shared" si="106"/>
        <v>885175</v>
      </c>
      <c r="AO34" s="12">
        <f>SUM(AK34:AN34)</f>
        <v>3634450</v>
      </c>
      <c r="AQ34" s="1" t="s">
        <v>46</v>
      </c>
      <c r="AT34" s="1" t="s">
        <v>18</v>
      </c>
      <c r="AY34" s="1" t="s">
        <v>47</v>
      </c>
      <c r="BB34" s="1" t="s">
        <v>18</v>
      </c>
    </row>
    <row r="35" spans="18:57" ht="28.8" x14ac:dyDescent="0.3">
      <c r="R35" s="2">
        <v>4</v>
      </c>
      <c r="S35" s="5" t="s">
        <v>28</v>
      </c>
      <c r="T35" s="7">
        <v>10000</v>
      </c>
      <c r="U35" s="7">
        <v>15000</v>
      </c>
      <c r="V35" s="7">
        <v>15000</v>
      </c>
      <c r="W35" s="7">
        <v>15000</v>
      </c>
      <c r="X35" s="7">
        <v>15000</v>
      </c>
      <c r="Y35" s="7">
        <v>15000</v>
      </c>
      <c r="Z35" s="7">
        <v>15000</v>
      </c>
      <c r="AA35" s="7">
        <v>15000</v>
      </c>
      <c r="AB35" s="7">
        <v>15000</v>
      </c>
      <c r="AC35" s="7">
        <v>15000</v>
      </c>
      <c r="AD35" s="7">
        <v>15000</v>
      </c>
      <c r="AE35" s="7">
        <v>15000</v>
      </c>
      <c r="AF35" s="11">
        <f>SUM(T35:AE35)</f>
        <v>175000</v>
      </c>
      <c r="AQ35" s="3" t="s">
        <v>0</v>
      </c>
      <c r="AR35" s="3" t="s">
        <v>20</v>
      </c>
      <c r="AS35" s="3" t="s">
        <v>40</v>
      </c>
      <c r="AT35" s="3" t="s">
        <v>41</v>
      </c>
      <c r="AU35" s="3" t="s">
        <v>42</v>
      </c>
      <c r="AV35" s="3" t="s">
        <v>43</v>
      </c>
      <c r="AW35" s="10" t="s">
        <v>14</v>
      </c>
      <c r="AY35" s="3" t="s">
        <v>0</v>
      </c>
      <c r="AZ35" s="3" t="s">
        <v>20</v>
      </c>
      <c r="BA35" s="3" t="s">
        <v>40</v>
      </c>
      <c r="BB35" s="3" t="s">
        <v>41</v>
      </c>
      <c r="BC35" s="3" t="s">
        <v>42</v>
      </c>
      <c r="BD35" s="3" t="s">
        <v>43</v>
      </c>
      <c r="BE35" s="10" t="s">
        <v>14</v>
      </c>
    </row>
    <row r="36" spans="18:57" ht="28.8" x14ac:dyDescent="0.3">
      <c r="R36" s="2">
        <v>5</v>
      </c>
      <c r="S36" s="5" t="s">
        <v>27</v>
      </c>
      <c r="T36" s="7">
        <v>75000</v>
      </c>
      <c r="U36" s="7">
        <v>75000</v>
      </c>
      <c r="V36" s="7">
        <v>75000</v>
      </c>
      <c r="W36" s="7">
        <v>75000</v>
      </c>
      <c r="X36" s="7">
        <v>75000</v>
      </c>
      <c r="Y36" s="7">
        <v>75000</v>
      </c>
      <c r="Z36" s="7">
        <v>75000</v>
      </c>
      <c r="AA36" s="7">
        <v>75000</v>
      </c>
      <c r="AB36" s="7">
        <v>75000</v>
      </c>
      <c r="AC36" s="7">
        <v>75000</v>
      </c>
      <c r="AD36" s="7">
        <v>75000</v>
      </c>
      <c r="AE36" s="7">
        <v>75000</v>
      </c>
      <c r="AF36" s="11">
        <f t="shared" ref="AF36:AF37" si="107">SUM(T36:AE36)</f>
        <v>900000</v>
      </c>
      <c r="AI36" s="1" t="s">
        <v>45</v>
      </c>
      <c r="AL36" s="1" t="s">
        <v>18</v>
      </c>
      <c r="AQ36" s="2">
        <v>1</v>
      </c>
      <c r="AR36" s="5" t="s">
        <v>27</v>
      </c>
      <c r="AS36" s="7">
        <f>100000*3</f>
        <v>300000</v>
      </c>
      <c r="AT36" s="7">
        <f>AS36</f>
        <v>300000</v>
      </c>
      <c r="AU36" s="7">
        <f t="shared" ref="AU36:AV36" si="108">AT36</f>
        <v>300000</v>
      </c>
      <c r="AV36" s="7">
        <f t="shared" si="108"/>
        <v>300000</v>
      </c>
      <c r="AW36" s="11">
        <f>SUM(AS36:AV36)</f>
        <v>1200000</v>
      </c>
      <c r="AY36" s="2">
        <v>1</v>
      </c>
      <c r="AZ36" s="5" t="s">
        <v>27</v>
      </c>
      <c r="BA36" s="7">
        <f>150000*3</f>
        <v>450000</v>
      </c>
      <c r="BB36" s="7">
        <f>BA36</f>
        <v>450000</v>
      </c>
      <c r="BC36" s="7">
        <f t="shared" ref="BC36:BD36" si="109">BB36</f>
        <v>450000</v>
      </c>
      <c r="BD36" s="7">
        <f t="shared" si="109"/>
        <v>450000</v>
      </c>
      <c r="BE36" s="11">
        <f>SUM(BA36:BD36)</f>
        <v>1800000</v>
      </c>
    </row>
    <row r="37" spans="18:57" ht="28.8" x14ac:dyDescent="0.3">
      <c r="R37" s="2">
        <v>6</v>
      </c>
      <c r="S37" s="8" t="s">
        <v>22</v>
      </c>
      <c r="T37" s="7">
        <v>25000</v>
      </c>
      <c r="U37" s="7">
        <v>25000</v>
      </c>
      <c r="V37" s="7">
        <v>25000</v>
      </c>
      <c r="W37" s="7">
        <v>25000</v>
      </c>
      <c r="X37" s="7">
        <v>25000</v>
      </c>
      <c r="Y37" s="7">
        <v>25000</v>
      </c>
      <c r="Z37" s="7">
        <v>25000</v>
      </c>
      <c r="AA37" s="7">
        <v>25000</v>
      </c>
      <c r="AB37" s="7">
        <v>25000</v>
      </c>
      <c r="AC37" s="7">
        <v>25000</v>
      </c>
      <c r="AD37" s="7">
        <v>25000</v>
      </c>
      <c r="AE37" s="7">
        <v>25000</v>
      </c>
      <c r="AF37" s="11">
        <f t="shared" si="107"/>
        <v>300000</v>
      </c>
      <c r="AI37" s="3" t="s">
        <v>0</v>
      </c>
      <c r="AJ37" s="3" t="s">
        <v>20</v>
      </c>
      <c r="AK37" s="3" t="s">
        <v>40</v>
      </c>
      <c r="AL37" s="3" t="s">
        <v>41</v>
      </c>
      <c r="AM37" s="3" t="s">
        <v>42</v>
      </c>
      <c r="AN37" s="3" t="s">
        <v>43</v>
      </c>
      <c r="AO37" s="10" t="s">
        <v>14</v>
      </c>
      <c r="AQ37" s="2">
        <v>2</v>
      </c>
      <c r="AR37" s="8" t="s">
        <v>22</v>
      </c>
      <c r="AS37" s="7">
        <f>55000*3</f>
        <v>165000</v>
      </c>
      <c r="AT37" s="7">
        <f>AS37</f>
        <v>165000</v>
      </c>
      <c r="AU37" s="7">
        <f t="shared" ref="AU37:AV37" si="110">AT37</f>
        <v>165000</v>
      </c>
      <c r="AV37" s="7">
        <f t="shared" si="110"/>
        <v>165000</v>
      </c>
      <c r="AW37" s="11">
        <f>SUM(AS37:AV37)</f>
        <v>660000</v>
      </c>
      <c r="AY37" s="2">
        <v>2</v>
      </c>
      <c r="AZ37" s="8" t="s">
        <v>22</v>
      </c>
      <c r="BA37" s="7">
        <f>75000*3</f>
        <v>225000</v>
      </c>
      <c r="BB37" s="7">
        <f>BA37</f>
        <v>225000</v>
      </c>
      <c r="BC37" s="7">
        <f t="shared" ref="BC37:BD37" si="111">BB37</f>
        <v>225000</v>
      </c>
      <c r="BD37" s="7">
        <f t="shared" si="111"/>
        <v>225000</v>
      </c>
      <c r="BE37" s="11">
        <f>SUM(BA37:BD37)</f>
        <v>900000</v>
      </c>
    </row>
    <row r="38" spans="18:57" ht="28.8" x14ac:dyDescent="0.3">
      <c r="R38" s="2">
        <v>7</v>
      </c>
      <c r="S38" s="5" t="s">
        <v>23</v>
      </c>
      <c r="T38" s="7">
        <v>450000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11">
        <f>SUM(T38:AE38)</f>
        <v>450000</v>
      </c>
      <c r="AI38" s="2">
        <v>1</v>
      </c>
      <c r="AJ38" s="5" t="s">
        <v>27</v>
      </c>
      <c r="AK38" s="7">
        <f>90000*3</f>
        <v>270000</v>
      </c>
      <c r="AL38" s="7">
        <f>AK38</f>
        <v>270000</v>
      </c>
      <c r="AM38" s="7">
        <f t="shared" ref="AM38:AN38" si="112">AL38</f>
        <v>270000</v>
      </c>
      <c r="AN38" s="7">
        <f t="shared" si="112"/>
        <v>270000</v>
      </c>
      <c r="AO38" s="11">
        <f>SUM(AK38:AN38)</f>
        <v>1080000</v>
      </c>
      <c r="AQ38" s="2">
        <v>3</v>
      </c>
      <c r="AR38" s="5" t="s">
        <v>35</v>
      </c>
      <c r="AS38" s="7">
        <f>2000*3</f>
        <v>6000</v>
      </c>
      <c r="AT38" s="7">
        <f>AS38</f>
        <v>6000</v>
      </c>
      <c r="AU38" s="7">
        <f t="shared" ref="AU38:AV38" si="113">AT38</f>
        <v>6000</v>
      </c>
      <c r="AV38" s="7">
        <f t="shared" si="113"/>
        <v>6000</v>
      </c>
      <c r="AW38" s="11">
        <f>SUM(AS38:AV38)</f>
        <v>24000</v>
      </c>
      <c r="AY38" s="2">
        <v>3</v>
      </c>
      <c r="AZ38" s="5" t="s">
        <v>35</v>
      </c>
      <c r="BA38" s="7">
        <f>3500*3</f>
        <v>10500</v>
      </c>
      <c r="BB38" s="7">
        <f>BA38</f>
        <v>10500</v>
      </c>
      <c r="BC38" s="7">
        <f t="shared" ref="BC38:BD38" si="114">BB38</f>
        <v>10500</v>
      </c>
      <c r="BD38" s="7">
        <f t="shared" si="114"/>
        <v>10500</v>
      </c>
      <c r="BE38" s="11">
        <f>SUM(BA38:BD38)</f>
        <v>42000</v>
      </c>
    </row>
    <row r="39" spans="18:57" ht="28.8" x14ac:dyDescent="0.3">
      <c r="R39" s="2">
        <v>8</v>
      </c>
      <c r="S39" s="5" t="s">
        <v>29</v>
      </c>
      <c r="T39" s="7">
        <v>0</v>
      </c>
      <c r="U39" s="7">
        <f>T38*1/4*1/12</f>
        <v>9375</v>
      </c>
      <c r="V39" s="7">
        <f>U39</f>
        <v>9375</v>
      </c>
      <c r="W39" s="7">
        <f t="shared" ref="W39" si="115">V39</f>
        <v>9375</v>
      </c>
      <c r="X39" s="7">
        <f t="shared" ref="X39" si="116">W39</f>
        <v>9375</v>
      </c>
      <c r="Y39" s="7">
        <f t="shared" ref="Y39" si="117">X39</f>
        <v>9375</v>
      </c>
      <c r="Z39" s="7">
        <f t="shared" ref="Z39" si="118">Y39</f>
        <v>9375</v>
      </c>
      <c r="AA39" s="7">
        <f t="shared" ref="AA39" si="119">Z39</f>
        <v>9375</v>
      </c>
      <c r="AB39" s="7">
        <f t="shared" ref="AB39" si="120">AA39</f>
        <v>9375</v>
      </c>
      <c r="AC39" s="7">
        <f t="shared" ref="AC39" si="121">AB39</f>
        <v>9375</v>
      </c>
      <c r="AD39" s="7">
        <f t="shared" ref="AD39" si="122">AC39</f>
        <v>9375</v>
      </c>
      <c r="AE39" s="7">
        <f t="shared" ref="AE39" si="123">AD39</f>
        <v>9375</v>
      </c>
      <c r="AF39" s="11">
        <f>SUM(T39:AE39)</f>
        <v>103125</v>
      </c>
      <c r="AI39" s="2">
        <v>2</v>
      </c>
      <c r="AJ39" s="8" t="s">
        <v>22</v>
      </c>
      <c r="AK39" s="7">
        <f>45000*3</f>
        <v>135000</v>
      </c>
      <c r="AL39" s="7">
        <f>AK39</f>
        <v>135000</v>
      </c>
      <c r="AM39" s="7">
        <f t="shared" ref="AM39:AN39" si="124">AL39</f>
        <v>135000</v>
      </c>
      <c r="AN39" s="7">
        <f t="shared" si="124"/>
        <v>135000</v>
      </c>
      <c r="AO39" s="11">
        <f>SUM(AK39:AN39)</f>
        <v>540000</v>
      </c>
      <c r="AQ39" s="2">
        <v>4</v>
      </c>
      <c r="AR39" s="5" t="s">
        <v>28</v>
      </c>
      <c r="AS39" s="7">
        <f>20000*3</f>
        <v>60000</v>
      </c>
      <c r="AT39" s="7">
        <f>AS39</f>
        <v>60000</v>
      </c>
      <c r="AU39" s="7">
        <f t="shared" ref="AU39:AV39" si="125">AT39</f>
        <v>60000</v>
      </c>
      <c r="AV39" s="7">
        <f t="shared" si="125"/>
        <v>60000</v>
      </c>
      <c r="AW39" s="11">
        <f>SUM(AS39:AV39)</f>
        <v>240000</v>
      </c>
      <c r="AY39" s="2">
        <v>4</v>
      </c>
      <c r="AZ39" s="5" t="s">
        <v>28</v>
      </c>
      <c r="BA39" s="7">
        <f>30000*3</f>
        <v>90000</v>
      </c>
      <c r="BB39" s="7">
        <f>BA39</f>
        <v>90000</v>
      </c>
      <c r="BC39" s="7">
        <f t="shared" ref="BC39:BD46" si="126">BB39</f>
        <v>90000</v>
      </c>
      <c r="BD39" s="7">
        <f t="shared" si="126"/>
        <v>90000</v>
      </c>
      <c r="BE39" s="11">
        <f>SUM(BA39:BD39)</f>
        <v>360000</v>
      </c>
    </row>
    <row r="40" spans="18:57" ht="28.8" x14ac:dyDescent="0.3">
      <c r="R40" s="2">
        <v>9</v>
      </c>
      <c r="S40" s="5" t="s">
        <v>30</v>
      </c>
      <c r="T40" s="7">
        <v>15000</v>
      </c>
      <c r="U40" s="7">
        <v>15000</v>
      </c>
      <c r="V40" s="7">
        <v>15000</v>
      </c>
      <c r="W40" s="7">
        <v>15000</v>
      </c>
      <c r="X40" s="7">
        <v>15000</v>
      </c>
      <c r="Y40" s="7">
        <v>15000</v>
      </c>
      <c r="Z40" s="7">
        <v>15000</v>
      </c>
      <c r="AA40" s="7">
        <v>15000</v>
      </c>
      <c r="AB40" s="7">
        <v>15000</v>
      </c>
      <c r="AC40" s="7">
        <v>15000</v>
      </c>
      <c r="AD40" s="7">
        <v>15000</v>
      </c>
      <c r="AE40" s="7">
        <v>15000</v>
      </c>
      <c r="AF40" s="11">
        <f>SUM(T40:AE40)</f>
        <v>180000</v>
      </c>
      <c r="AI40" s="2">
        <v>3</v>
      </c>
      <c r="AJ40" s="5" t="s">
        <v>35</v>
      </c>
      <c r="AK40" s="7">
        <f>1500*3</f>
        <v>4500</v>
      </c>
      <c r="AL40" s="7">
        <f>AK40</f>
        <v>4500</v>
      </c>
      <c r="AM40" s="7">
        <f t="shared" ref="AM40:AN40" si="127">AL40</f>
        <v>4500</v>
      </c>
      <c r="AN40" s="7">
        <f t="shared" si="127"/>
        <v>4500</v>
      </c>
      <c r="AO40" s="11">
        <f>SUM(AK40:AN40)</f>
        <v>18000</v>
      </c>
      <c r="AQ40" s="2">
        <v>5</v>
      </c>
      <c r="AR40" s="5" t="s">
        <v>29</v>
      </c>
      <c r="AS40" s="7">
        <f>AN43</f>
        <v>37500</v>
      </c>
      <c r="AT40" s="7">
        <f>AS40</f>
        <v>37500</v>
      </c>
      <c r="AU40" s="7">
        <f>AT40</f>
        <v>37500</v>
      </c>
      <c r="AV40" s="7">
        <f t="shared" ref="AV40:AV46" si="128">AU40</f>
        <v>37500</v>
      </c>
      <c r="AW40" s="11">
        <f>SUM(AS40:AV40)</f>
        <v>150000</v>
      </c>
      <c r="AY40" s="2">
        <v>5</v>
      </c>
      <c r="AZ40" s="5" t="s">
        <v>29</v>
      </c>
      <c r="BA40" s="7">
        <f>AV40</f>
        <v>37500</v>
      </c>
      <c r="BB40" s="7">
        <f>BA40</f>
        <v>37500</v>
      </c>
      <c r="BC40" s="7">
        <f>BB40</f>
        <v>37500</v>
      </c>
      <c r="BD40" s="7">
        <f t="shared" si="126"/>
        <v>37500</v>
      </c>
      <c r="BE40" s="11">
        <f>SUM(BA40:BD40)</f>
        <v>150000</v>
      </c>
    </row>
    <row r="41" spans="18:57" ht="28.8" x14ac:dyDescent="0.3">
      <c r="R41" s="2">
        <v>10</v>
      </c>
      <c r="S41" s="9" t="s">
        <v>24</v>
      </c>
      <c r="T41" s="7">
        <v>3000</v>
      </c>
      <c r="U41" s="7">
        <v>3000</v>
      </c>
      <c r="V41" s="7">
        <v>3000</v>
      </c>
      <c r="W41" s="7">
        <v>3000</v>
      </c>
      <c r="X41" s="7">
        <v>3000</v>
      </c>
      <c r="Y41" s="7">
        <v>3000</v>
      </c>
      <c r="Z41" s="7">
        <v>3000</v>
      </c>
      <c r="AA41" s="7">
        <v>3000</v>
      </c>
      <c r="AB41" s="7">
        <v>3000</v>
      </c>
      <c r="AC41" s="7">
        <v>3000</v>
      </c>
      <c r="AD41" s="7">
        <v>3000</v>
      </c>
      <c r="AE41" s="7">
        <v>3000</v>
      </c>
      <c r="AF41" s="11">
        <f>SUM(T41:AE41)</f>
        <v>36000</v>
      </c>
      <c r="AI41" s="2">
        <v>4</v>
      </c>
      <c r="AJ41" s="5" t="s">
        <v>28</v>
      </c>
      <c r="AK41" s="7">
        <f>15000*3</f>
        <v>45000</v>
      </c>
      <c r="AL41" s="7">
        <f>AK41</f>
        <v>45000</v>
      </c>
      <c r="AM41" s="7">
        <f t="shared" ref="AM41:AN41" si="129">AL41</f>
        <v>45000</v>
      </c>
      <c r="AN41" s="7">
        <f t="shared" si="129"/>
        <v>45000</v>
      </c>
      <c r="AO41" s="11">
        <f>SUM(AK41:AN41)</f>
        <v>180000</v>
      </c>
      <c r="AQ41" s="2">
        <v>6</v>
      </c>
      <c r="AR41" s="5" t="s">
        <v>36</v>
      </c>
      <c r="AS41" s="7">
        <f>700000/4</f>
        <v>175000</v>
      </c>
      <c r="AT41" s="7">
        <f>AS41</f>
        <v>175000</v>
      </c>
      <c r="AU41" s="7">
        <f t="shared" ref="AU41:AU46" si="130">AT41</f>
        <v>175000</v>
      </c>
      <c r="AV41" s="7">
        <f t="shared" si="128"/>
        <v>175000</v>
      </c>
      <c r="AW41" s="11">
        <f>SUM(AS41:AV41)</f>
        <v>700000</v>
      </c>
      <c r="AY41" s="2">
        <v>6</v>
      </c>
      <c r="AZ41" s="5" t="s">
        <v>36</v>
      </c>
      <c r="BA41" s="7">
        <f>1200000/4</f>
        <v>300000</v>
      </c>
      <c r="BB41" s="7">
        <f>BA41</f>
        <v>300000</v>
      </c>
      <c r="BC41" s="7">
        <f t="shared" ref="BC41:BC46" si="131">BB41</f>
        <v>300000</v>
      </c>
      <c r="BD41" s="7">
        <f t="shared" si="126"/>
        <v>300000</v>
      </c>
      <c r="BE41" s="11">
        <f>SUM(BA41:BD41)</f>
        <v>1200000</v>
      </c>
    </row>
    <row r="42" spans="18:57" ht="28.8" x14ac:dyDescent="0.3">
      <c r="R42" s="13" t="s">
        <v>14</v>
      </c>
      <c r="S42" s="13"/>
      <c r="T42" s="14">
        <f>SUM(T32:T41)</f>
        <v>601000</v>
      </c>
      <c r="U42" s="14">
        <f t="shared" ref="U42:AE42" si="132">SUM(U32:U41)</f>
        <v>142375</v>
      </c>
      <c r="V42" s="14">
        <f t="shared" si="132"/>
        <v>142375</v>
      </c>
      <c r="W42" s="14">
        <f t="shared" si="132"/>
        <v>142375</v>
      </c>
      <c r="X42" s="14">
        <f t="shared" si="132"/>
        <v>142375</v>
      </c>
      <c r="Y42" s="14">
        <f t="shared" si="132"/>
        <v>142375</v>
      </c>
      <c r="Z42" s="14">
        <f t="shared" si="132"/>
        <v>142375</v>
      </c>
      <c r="AA42" s="14">
        <f t="shared" si="132"/>
        <v>142375</v>
      </c>
      <c r="AB42" s="14">
        <f t="shared" si="132"/>
        <v>142375</v>
      </c>
      <c r="AC42" s="14">
        <f t="shared" si="132"/>
        <v>142375</v>
      </c>
      <c r="AD42" s="14">
        <f t="shared" si="132"/>
        <v>142375</v>
      </c>
      <c r="AE42" s="14">
        <f t="shared" si="132"/>
        <v>142375</v>
      </c>
      <c r="AF42" s="12">
        <f>SUM(T42:AE42)</f>
        <v>2167125</v>
      </c>
      <c r="AI42" s="2">
        <v>5</v>
      </c>
      <c r="AJ42" s="5" t="s">
        <v>34</v>
      </c>
      <c r="AK42" s="7">
        <v>150000</v>
      </c>
      <c r="AL42" s="7">
        <v>0</v>
      </c>
      <c r="AM42" s="7">
        <v>0</v>
      </c>
      <c r="AN42" s="7">
        <v>0</v>
      </c>
      <c r="AO42" s="11">
        <f>SUM(AK42:AN42)</f>
        <v>150000</v>
      </c>
      <c r="AQ42" s="2">
        <v>7</v>
      </c>
      <c r="AR42" s="5" t="s">
        <v>37</v>
      </c>
      <c r="AS42" s="7">
        <f>550000/4</f>
        <v>137500</v>
      </c>
      <c r="AT42" s="7">
        <f>AS42</f>
        <v>137500</v>
      </c>
      <c r="AU42" s="7">
        <f t="shared" si="130"/>
        <v>137500</v>
      </c>
      <c r="AV42" s="7">
        <f t="shared" si="128"/>
        <v>137500</v>
      </c>
      <c r="AW42" s="11">
        <f>SUM(AS42:AV42)</f>
        <v>550000</v>
      </c>
      <c r="AY42" s="2">
        <v>7</v>
      </c>
      <c r="AZ42" s="5" t="s">
        <v>37</v>
      </c>
      <c r="BA42" s="7">
        <f>650000/4</f>
        <v>162500</v>
      </c>
      <c r="BB42" s="7">
        <f>BA42</f>
        <v>162500</v>
      </c>
      <c r="BC42" s="7">
        <f t="shared" si="131"/>
        <v>162500</v>
      </c>
      <c r="BD42" s="7">
        <f t="shared" si="126"/>
        <v>162500</v>
      </c>
      <c r="BE42" s="11">
        <f>SUM(BA42:BD42)</f>
        <v>650000</v>
      </c>
    </row>
    <row r="43" spans="18:57" ht="28.8" x14ac:dyDescent="0.3">
      <c r="AI43" s="2">
        <v>6</v>
      </c>
      <c r="AJ43" s="5" t="s">
        <v>29</v>
      </c>
      <c r="AK43" s="7">
        <f>AE39*3</f>
        <v>28125</v>
      </c>
      <c r="AL43" s="7">
        <f>AK43+(AK42*1/4*1/12)*3</f>
        <v>37500</v>
      </c>
      <c r="AM43" s="7">
        <f>AL43</f>
        <v>37500</v>
      </c>
      <c r="AN43" s="7">
        <f t="shared" ref="AN43:AN49" si="133">AM43</f>
        <v>37500</v>
      </c>
      <c r="AO43" s="11">
        <f>SUM(AK43:AN43)</f>
        <v>140625</v>
      </c>
      <c r="AQ43" s="2">
        <v>8</v>
      </c>
      <c r="AR43" s="5" t="s">
        <v>44</v>
      </c>
      <c r="AS43" s="7">
        <f>550000/4</f>
        <v>137500</v>
      </c>
      <c r="AT43" s="7">
        <f>AS43</f>
        <v>137500</v>
      </c>
      <c r="AU43" s="7">
        <f t="shared" si="130"/>
        <v>137500</v>
      </c>
      <c r="AV43" s="7">
        <f t="shared" si="128"/>
        <v>137500</v>
      </c>
      <c r="AW43" s="11">
        <f>SUM(AS43:AV43)</f>
        <v>550000</v>
      </c>
      <c r="AY43" s="2">
        <v>8</v>
      </c>
      <c r="AZ43" s="5" t="s">
        <v>44</v>
      </c>
      <c r="BA43" s="7">
        <f>650000/4</f>
        <v>162500</v>
      </c>
      <c r="BB43" s="7">
        <f>BA43</f>
        <v>162500</v>
      </c>
      <c r="BC43" s="7">
        <f t="shared" si="131"/>
        <v>162500</v>
      </c>
      <c r="BD43" s="7">
        <f t="shared" si="126"/>
        <v>162500</v>
      </c>
      <c r="BE43" s="11">
        <f>SUM(BA43:BD43)</f>
        <v>650000</v>
      </c>
    </row>
    <row r="44" spans="18:57" ht="28.8" x14ac:dyDescent="0.3">
      <c r="AI44" s="2">
        <v>7</v>
      </c>
      <c r="AJ44" s="5" t="s">
        <v>36</v>
      </c>
      <c r="AK44" s="7">
        <f>500000/4</f>
        <v>125000</v>
      </c>
      <c r="AL44" s="7">
        <f>AK44</f>
        <v>125000</v>
      </c>
      <c r="AM44" s="7">
        <f t="shared" ref="AM44:AM49" si="134">AL44</f>
        <v>125000</v>
      </c>
      <c r="AN44" s="7">
        <f t="shared" si="133"/>
        <v>125000</v>
      </c>
      <c r="AO44" s="11">
        <f>SUM(AK44:AN44)</f>
        <v>500000</v>
      </c>
      <c r="AQ44" s="2">
        <v>9</v>
      </c>
      <c r="AR44" s="5" t="s">
        <v>30</v>
      </c>
      <c r="AS44" s="7">
        <f>40000*3</f>
        <v>120000</v>
      </c>
      <c r="AT44" s="7">
        <f>AS44</f>
        <v>120000</v>
      </c>
      <c r="AU44" s="7">
        <f t="shared" si="130"/>
        <v>120000</v>
      </c>
      <c r="AV44" s="7">
        <f t="shared" si="128"/>
        <v>120000</v>
      </c>
      <c r="AW44" s="11">
        <f>SUM(AS44:AV44)</f>
        <v>480000</v>
      </c>
      <c r="AY44" s="2">
        <v>9</v>
      </c>
      <c r="AZ44" s="5" t="s">
        <v>30</v>
      </c>
      <c r="BA44" s="7">
        <f>60000*3</f>
        <v>180000</v>
      </c>
      <c r="BB44" s="7">
        <f>BA44</f>
        <v>180000</v>
      </c>
      <c r="BC44" s="7">
        <f t="shared" si="131"/>
        <v>180000</v>
      </c>
      <c r="BD44" s="7">
        <f t="shared" si="126"/>
        <v>180000</v>
      </c>
      <c r="BE44" s="11">
        <f>SUM(BA44:BD44)</f>
        <v>720000</v>
      </c>
    </row>
    <row r="45" spans="18:57" ht="28.8" x14ac:dyDescent="0.3">
      <c r="AI45" s="2">
        <v>8</v>
      </c>
      <c r="AJ45" s="5" t="s">
        <v>37</v>
      </c>
      <c r="AK45" s="7">
        <f>350000/4</f>
        <v>87500</v>
      </c>
      <c r="AL45" s="7">
        <f>AK45</f>
        <v>87500</v>
      </c>
      <c r="AM45" s="7">
        <f t="shared" si="134"/>
        <v>87500</v>
      </c>
      <c r="AN45" s="7">
        <f t="shared" si="133"/>
        <v>87500</v>
      </c>
      <c r="AO45" s="11">
        <f>SUM(AK45:AN45)</f>
        <v>350000</v>
      </c>
      <c r="AQ45" s="2">
        <v>10</v>
      </c>
      <c r="AR45" s="9" t="s">
        <v>24</v>
      </c>
      <c r="AS45" s="7">
        <f>7000*3</f>
        <v>21000</v>
      </c>
      <c r="AT45" s="7">
        <f>AS45</f>
        <v>21000</v>
      </c>
      <c r="AU45" s="7">
        <f t="shared" si="130"/>
        <v>21000</v>
      </c>
      <c r="AV45" s="7">
        <f t="shared" si="128"/>
        <v>21000</v>
      </c>
      <c r="AW45" s="11">
        <f>SUM(AS45:AV45)</f>
        <v>84000</v>
      </c>
      <c r="AY45" s="2">
        <v>10</v>
      </c>
      <c r="AZ45" s="9" t="s">
        <v>24</v>
      </c>
      <c r="BA45" s="7">
        <f>8000*3</f>
        <v>24000</v>
      </c>
      <c r="BB45" s="7">
        <f>BA45</f>
        <v>24000</v>
      </c>
      <c r="BC45" s="7">
        <f t="shared" si="131"/>
        <v>24000</v>
      </c>
      <c r="BD45" s="7">
        <f t="shared" si="126"/>
        <v>24000</v>
      </c>
      <c r="BE45" s="11">
        <f>SUM(BA45:BD45)</f>
        <v>96000</v>
      </c>
    </row>
    <row r="46" spans="18:57" ht="28.8" x14ac:dyDescent="0.3">
      <c r="AI46" s="2">
        <v>9</v>
      </c>
      <c r="AJ46" s="5" t="s">
        <v>44</v>
      </c>
      <c r="AK46" s="7">
        <f>350000/4</f>
        <v>87500</v>
      </c>
      <c r="AL46" s="7">
        <f>AK46</f>
        <v>87500</v>
      </c>
      <c r="AM46" s="7">
        <f t="shared" si="134"/>
        <v>87500</v>
      </c>
      <c r="AN46" s="7">
        <f t="shared" si="133"/>
        <v>87500</v>
      </c>
      <c r="AO46" s="11">
        <f>SUM(AK46:AN46)</f>
        <v>350000</v>
      </c>
      <c r="AQ46" s="2">
        <v>11</v>
      </c>
      <c r="AR46" s="9" t="s">
        <v>38</v>
      </c>
      <c r="AS46" s="7">
        <f>23000*3</f>
        <v>69000</v>
      </c>
      <c r="AT46" s="7">
        <f>AS46</f>
        <v>69000</v>
      </c>
      <c r="AU46" s="7">
        <f t="shared" si="130"/>
        <v>69000</v>
      </c>
      <c r="AV46" s="7">
        <f t="shared" si="128"/>
        <v>69000</v>
      </c>
      <c r="AW46" s="11">
        <f>SUM(AS46:AV46)</f>
        <v>276000</v>
      </c>
      <c r="AY46" s="2">
        <v>11</v>
      </c>
      <c r="AZ46" s="9" t="s">
        <v>38</v>
      </c>
      <c r="BA46" s="7">
        <f>27000*3</f>
        <v>81000</v>
      </c>
      <c r="BB46" s="7">
        <f>BA46</f>
        <v>81000</v>
      </c>
      <c r="BC46" s="7">
        <f t="shared" si="131"/>
        <v>81000</v>
      </c>
      <c r="BD46" s="7">
        <f t="shared" si="126"/>
        <v>81000</v>
      </c>
      <c r="BE46" s="11">
        <f>SUM(BA46:BD46)</f>
        <v>324000</v>
      </c>
    </row>
    <row r="47" spans="18:57" ht="28.8" x14ac:dyDescent="0.3">
      <c r="AI47" s="2">
        <v>10</v>
      </c>
      <c r="AJ47" s="5" t="s">
        <v>30</v>
      </c>
      <c r="AK47" s="7">
        <f>30000*3</f>
        <v>90000</v>
      </c>
      <c r="AL47" s="7">
        <f>AK47</f>
        <v>90000</v>
      </c>
      <c r="AM47" s="7">
        <f t="shared" si="134"/>
        <v>90000</v>
      </c>
      <c r="AN47" s="7">
        <f t="shared" si="133"/>
        <v>90000</v>
      </c>
      <c r="AO47" s="11">
        <f>SUM(AK47:AN47)</f>
        <v>360000</v>
      </c>
      <c r="AQ47" s="2">
        <v>12</v>
      </c>
      <c r="AR47" s="5" t="s">
        <v>39</v>
      </c>
      <c r="AS47" s="7">
        <f>SUM(AS36:AS37)*0.33</f>
        <v>153450</v>
      </c>
      <c r="AT47" s="7">
        <f>SUM(AT36:AT37)*0.33</f>
        <v>153450</v>
      </c>
      <c r="AU47" s="7">
        <f>SUM(AU36:AU37)*0.33</f>
        <v>153450</v>
      </c>
      <c r="AV47" s="7">
        <f>SUM(AV36:AV37)*0.33</f>
        <v>153450</v>
      </c>
      <c r="AW47" s="11">
        <f>SUM(AS47:AV47)</f>
        <v>613800</v>
      </c>
      <c r="AY47" s="2">
        <v>12</v>
      </c>
      <c r="AZ47" s="5" t="s">
        <v>39</v>
      </c>
      <c r="BA47" s="7">
        <f>SUM(BA36:BA37)*0.33</f>
        <v>222750</v>
      </c>
      <c r="BB47" s="7">
        <f>SUM(BB36:BB37)*0.33</f>
        <v>222750</v>
      </c>
      <c r="BC47" s="7">
        <f>SUM(BC36:BC37)*0.33</f>
        <v>222750</v>
      </c>
      <c r="BD47" s="7">
        <f>SUM(BD36:BD37)*0.33</f>
        <v>222750</v>
      </c>
      <c r="BE47" s="11">
        <f>SUM(BA47:BD47)</f>
        <v>891000</v>
      </c>
    </row>
    <row r="48" spans="18:57" x14ac:dyDescent="0.3">
      <c r="AI48" s="2">
        <v>11</v>
      </c>
      <c r="AJ48" s="9" t="s">
        <v>24</v>
      </c>
      <c r="AK48" s="7">
        <f>5000*3</f>
        <v>15000</v>
      </c>
      <c r="AL48" s="7">
        <f>AK48</f>
        <v>15000</v>
      </c>
      <c r="AM48" s="7">
        <f t="shared" si="134"/>
        <v>15000</v>
      </c>
      <c r="AN48" s="7">
        <f t="shared" si="133"/>
        <v>15000</v>
      </c>
      <c r="AO48" s="11">
        <f>SUM(AK48:AN48)</f>
        <v>60000</v>
      </c>
      <c r="AQ48" s="15" t="s">
        <v>14</v>
      </c>
      <c r="AR48" s="16"/>
      <c r="AS48" s="14">
        <f>SUM(AS36:AS47)</f>
        <v>1381950</v>
      </c>
      <c r="AT48" s="14">
        <f>SUM(AT36:AT47)</f>
        <v>1381950</v>
      </c>
      <c r="AU48" s="14">
        <f>SUM(AU36:AU47)</f>
        <v>1381950</v>
      </c>
      <c r="AV48" s="14">
        <f>SUM(AV36:AV47)</f>
        <v>1381950</v>
      </c>
      <c r="AW48" s="12">
        <f>SUM(AS48:AV48)</f>
        <v>5527800</v>
      </c>
      <c r="AY48" s="15" t="s">
        <v>14</v>
      </c>
      <c r="AZ48" s="16"/>
      <c r="BA48" s="14">
        <f>SUM(BA36:BA47)</f>
        <v>1945750</v>
      </c>
      <c r="BB48" s="14">
        <f>SUM(BB36:BB47)</f>
        <v>1945750</v>
      </c>
      <c r="BC48" s="14">
        <f>SUM(BC36:BC47)</f>
        <v>1945750</v>
      </c>
      <c r="BD48" s="14">
        <f>SUM(BD36:BD47)</f>
        <v>1945750</v>
      </c>
      <c r="BE48" s="12">
        <f>SUM(BA48:BD48)</f>
        <v>7783000</v>
      </c>
    </row>
    <row r="49" spans="35:41" ht="28.8" x14ac:dyDescent="0.3">
      <c r="AI49" s="2">
        <v>12</v>
      </c>
      <c r="AJ49" s="9" t="s">
        <v>38</v>
      </c>
      <c r="AK49" s="7">
        <f>13000*3</f>
        <v>39000</v>
      </c>
      <c r="AL49" s="7">
        <f>AK49</f>
        <v>39000</v>
      </c>
      <c r="AM49" s="7">
        <f t="shared" si="134"/>
        <v>39000</v>
      </c>
      <c r="AN49" s="7">
        <f t="shared" si="133"/>
        <v>39000</v>
      </c>
      <c r="AO49" s="11">
        <f>SUM(AK49:AN49)</f>
        <v>156000</v>
      </c>
    </row>
    <row r="50" spans="35:41" x14ac:dyDescent="0.3">
      <c r="AI50" s="2">
        <v>13</v>
      </c>
      <c r="AJ50" s="5" t="s">
        <v>39</v>
      </c>
      <c r="AK50" s="7">
        <f>SUM(AK38:AK39)*0.33</f>
        <v>133650</v>
      </c>
      <c r="AL50" s="7">
        <f t="shared" ref="AL50:AN50" si="135">SUM(AL38:AL39)*0.33</f>
        <v>133650</v>
      </c>
      <c r="AM50" s="7">
        <f t="shared" si="135"/>
        <v>133650</v>
      </c>
      <c r="AN50" s="7">
        <f t="shared" si="135"/>
        <v>133650</v>
      </c>
      <c r="AO50" s="11">
        <f>SUM(AK50:AN50)</f>
        <v>534600</v>
      </c>
    </row>
    <row r="51" spans="35:41" x14ac:dyDescent="0.3">
      <c r="AI51" s="15" t="s">
        <v>14</v>
      </c>
      <c r="AJ51" s="16"/>
      <c r="AK51" s="14">
        <f>SUM(AK38:AK50)</f>
        <v>1210275</v>
      </c>
      <c r="AL51" s="14">
        <f t="shared" ref="AL51" si="136">SUM(AL38:AL50)</f>
        <v>1069650</v>
      </c>
      <c r="AM51" s="14">
        <f t="shared" ref="AM51" si="137">SUM(AM38:AM50)</f>
        <v>1069650</v>
      </c>
      <c r="AN51" s="14">
        <f t="shared" ref="AN51" si="138">SUM(AN38:AN50)</f>
        <v>1069650</v>
      </c>
      <c r="AO51" s="12">
        <f>SUM(AK51:AN51)</f>
        <v>4419225</v>
      </c>
    </row>
    <row r="54" spans="35:41" ht="18" x14ac:dyDescent="0.35">
      <c r="AI54" s="18" t="s">
        <v>52</v>
      </c>
      <c r="AJ54" s="18"/>
    </row>
    <row r="56" spans="35:41" x14ac:dyDescent="0.3">
      <c r="AI56" s="1" t="s">
        <v>64</v>
      </c>
      <c r="AJ56" s="26"/>
    </row>
    <row r="57" spans="35:41" ht="28.8" x14ac:dyDescent="0.3">
      <c r="AI57" s="2" t="s">
        <v>0</v>
      </c>
      <c r="AJ57" s="2" t="s">
        <v>20</v>
      </c>
      <c r="AK57" s="2" t="s">
        <v>48</v>
      </c>
    </row>
    <row r="58" spans="35:41" x14ac:dyDescent="0.3">
      <c r="AI58" s="2">
        <v>1</v>
      </c>
      <c r="AJ58" s="20" t="s">
        <v>53</v>
      </c>
      <c r="AK58" s="21">
        <v>60000</v>
      </c>
    </row>
    <row r="59" spans="35:41" x14ac:dyDescent="0.3">
      <c r="AI59" s="2">
        <v>2</v>
      </c>
      <c r="AJ59" s="20" t="s">
        <v>54</v>
      </c>
      <c r="AK59" s="22">
        <v>200000</v>
      </c>
    </row>
    <row r="60" spans="35:41" x14ac:dyDescent="0.3">
      <c r="AI60" s="2">
        <v>3</v>
      </c>
      <c r="AJ60" s="23" t="s">
        <v>55</v>
      </c>
      <c r="AK60" s="22">
        <v>60000</v>
      </c>
    </row>
    <row r="61" spans="35:41" ht="28.8" x14ac:dyDescent="0.3">
      <c r="AI61" s="2">
        <v>4</v>
      </c>
      <c r="AJ61" s="5" t="s">
        <v>56</v>
      </c>
      <c r="AK61" s="22">
        <v>900000</v>
      </c>
    </row>
    <row r="62" spans="35:41" ht="28.8" x14ac:dyDescent="0.3">
      <c r="AI62" s="2">
        <v>5</v>
      </c>
      <c r="AJ62" s="5" t="s">
        <v>57</v>
      </c>
      <c r="AK62" s="21">
        <v>50000</v>
      </c>
    </row>
    <row r="63" spans="35:41" x14ac:dyDescent="0.3">
      <c r="AI63" s="2">
        <v>6</v>
      </c>
      <c r="AJ63" s="20" t="s">
        <v>58</v>
      </c>
      <c r="AK63" s="21">
        <v>50000</v>
      </c>
    </row>
    <row r="64" spans="35:41" x14ac:dyDescent="0.3">
      <c r="AI64" s="2">
        <v>7</v>
      </c>
      <c r="AJ64" s="20" t="s">
        <v>59</v>
      </c>
      <c r="AK64" s="22">
        <v>60000</v>
      </c>
    </row>
    <row r="65" spans="35:37" ht="28.8" x14ac:dyDescent="0.3">
      <c r="AI65" s="2">
        <v>8</v>
      </c>
      <c r="AJ65" s="5" t="s">
        <v>60</v>
      </c>
      <c r="AK65" s="21">
        <v>70000</v>
      </c>
    </row>
    <row r="66" spans="35:37" x14ac:dyDescent="0.3">
      <c r="AI66" s="2">
        <v>9</v>
      </c>
      <c r="AJ66" s="20" t="s">
        <v>61</v>
      </c>
      <c r="AK66" s="21">
        <v>25000</v>
      </c>
    </row>
    <row r="67" spans="35:37" x14ac:dyDescent="0.3">
      <c r="AI67" s="2">
        <v>10</v>
      </c>
      <c r="AJ67" s="20" t="s">
        <v>62</v>
      </c>
      <c r="AK67" s="22">
        <v>30000</v>
      </c>
    </row>
    <row r="68" spans="35:37" x14ac:dyDescent="0.3">
      <c r="AI68" s="2">
        <v>11</v>
      </c>
      <c r="AJ68" s="20" t="s">
        <v>49</v>
      </c>
      <c r="AK68" s="22">
        <v>20000</v>
      </c>
    </row>
    <row r="69" spans="35:37" ht="28.8" x14ac:dyDescent="0.3">
      <c r="AI69" s="2">
        <v>12</v>
      </c>
      <c r="AJ69" s="5" t="s">
        <v>63</v>
      </c>
      <c r="AK69" s="22">
        <v>150000</v>
      </c>
    </row>
    <row r="70" spans="35:37" x14ac:dyDescent="0.3">
      <c r="AI70" s="2">
        <v>13</v>
      </c>
      <c r="AJ70" s="20" t="s">
        <v>50</v>
      </c>
      <c r="AK70" s="22">
        <v>300000</v>
      </c>
    </row>
    <row r="71" spans="35:37" x14ac:dyDescent="0.3">
      <c r="AI71" s="24" t="s">
        <v>51</v>
      </c>
      <c r="AJ71" s="25"/>
      <c r="AK71" s="28">
        <f>SUM(AK58)+SUM(AK59:AK63)+SUM(AK64:AK66)+SUM(AK67:AK70)</f>
        <v>1975000</v>
      </c>
    </row>
    <row r="73" spans="35:37" x14ac:dyDescent="0.3">
      <c r="AI73" s="1" t="s">
        <v>65</v>
      </c>
      <c r="AJ73" s="26"/>
    </row>
    <row r="74" spans="35:37" ht="28.8" x14ac:dyDescent="0.3">
      <c r="AI74" s="2" t="s">
        <v>0</v>
      </c>
      <c r="AJ74" s="2" t="s">
        <v>20</v>
      </c>
      <c r="AK74" s="2" t="s">
        <v>48</v>
      </c>
    </row>
    <row r="75" spans="35:37" x14ac:dyDescent="0.3">
      <c r="AI75" s="2">
        <v>1</v>
      </c>
      <c r="AJ75" s="20" t="s">
        <v>53</v>
      </c>
      <c r="AK75" s="21">
        <v>80000</v>
      </c>
    </row>
    <row r="76" spans="35:37" x14ac:dyDescent="0.3">
      <c r="AI76" s="2">
        <v>2</v>
      </c>
      <c r="AJ76" s="20" t="s">
        <v>54</v>
      </c>
      <c r="AK76" s="22">
        <v>300000</v>
      </c>
    </row>
    <row r="77" spans="35:37" x14ac:dyDescent="0.3">
      <c r="AI77" s="2">
        <v>3</v>
      </c>
      <c r="AJ77" s="23" t="s">
        <v>55</v>
      </c>
      <c r="AK77" s="22">
        <v>120000</v>
      </c>
    </row>
    <row r="78" spans="35:37" x14ac:dyDescent="0.3">
      <c r="AI78" s="2">
        <v>4</v>
      </c>
      <c r="AJ78" s="5" t="s">
        <v>67</v>
      </c>
      <c r="AK78" s="22">
        <v>100000</v>
      </c>
    </row>
    <row r="79" spans="35:37" ht="28.8" x14ac:dyDescent="0.3">
      <c r="AI79" s="2">
        <v>5</v>
      </c>
      <c r="AJ79" s="5" t="s">
        <v>57</v>
      </c>
      <c r="AK79" s="21">
        <v>25000</v>
      </c>
    </row>
    <row r="80" spans="35:37" x14ac:dyDescent="0.3">
      <c r="AI80" s="2">
        <v>6</v>
      </c>
      <c r="AJ80" s="20" t="s">
        <v>58</v>
      </c>
      <c r="AK80" s="21">
        <v>65000</v>
      </c>
    </row>
    <row r="81" spans="35:37" x14ac:dyDescent="0.3">
      <c r="AI81" s="2">
        <v>7</v>
      </c>
      <c r="AJ81" s="20" t="s">
        <v>59</v>
      </c>
      <c r="AK81" s="22">
        <v>80000</v>
      </c>
    </row>
    <row r="82" spans="35:37" ht="28.8" x14ac:dyDescent="0.3">
      <c r="AI82" s="2">
        <v>8</v>
      </c>
      <c r="AJ82" s="5" t="s">
        <v>60</v>
      </c>
      <c r="AK82" s="21">
        <v>110000</v>
      </c>
    </row>
    <row r="83" spans="35:37" x14ac:dyDescent="0.3">
      <c r="AI83" s="2">
        <v>9</v>
      </c>
      <c r="AJ83" s="20" t="s">
        <v>61</v>
      </c>
      <c r="AK83" s="21">
        <v>50000</v>
      </c>
    </row>
    <row r="84" spans="35:37" x14ac:dyDescent="0.3">
      <c r="AI84" s="2">
        <v>10</v>
      </c>
      <c r="AJ84" s="20" t="s">
        <v>62</v>
      </c>
      <c r="AK84" s="22">
        <v>50000</v>
      </c>
    </row>
    <row r="85" spans="35:37" x14ac:dyDescent="0.3">
      <c r="AI85" s="2">
        <v>11</v>
      </c>
      <c r="AJ85" s="20" t="s">
        <v>49</v>
      </c>
      <c r="AK85" s="22">
        <v>30000</v>
      </c>
    </row>
    <row r="86" spans="35:37" ht="28.8" x14ac:dyDescent="0.3">
      <c r="AI86" s="2">
        <v>12</v>
      </c>
      <c r="AJ86" s="5" t="s">
        <v>63</v>
      </c>
      <c r="AK86" s="22">
        <v>180000</v>
      </c>
    </row>
    <row r="87" spans="35:37" x14ac:dyDescent="0.3">
      <c r="AI87" s="2">
        <v>13</v>
      </c>
      <c r="AJ87" s="20" t="s">
        <v>50</v>
      </c>
      <c r="AK87" s="22">
        <v>450000</v>
      </c>
    </row>
    <row r="88" spans="35:37" x14ac:dyDescent="0.3">
      <c r="AI88" s="24" t="s">
        <v>51</v>
      </c>
      <c r="AJ88" s="25"/>
      <c r="AK88" s="28">
        <f>SUM(AK75)+SUM(AK76:AK80)+SUM(AK81:AK83)+SUM(AK84:AK87)</f>
        <v>1640000</v>
      </c>
    </row>
    <row r="90" spans="35:37" x14ac:dyDescent="0.3">
      <c r="AI90" s="1" t="s">
        <v>66</v>
      </c>
      <c r="AJ90" s="26"/>
    </row>
    <row r="91" spans="35:37" ht="28.8" x14ac:dyDescent="0.3">
      <c r="AI91" s="2" t="s">
        <v>0</v>
      </c>
      <c r="AJ91" s="2" t="s">
        <v>20</v>
      </c>
      <c r="AK91" s="2" t="s">
        <v>48</v>
      </c>
    </row>
    <row r="92" spans="35:37" x14ac:dyDescent="0.3">
      <c r="AI92" s="2">
        <v>1</v>
      </c>
      <c r="AJ92" s="20" t="s">
        <v>53</v>
      </c>
      <c r="AK92" s="21">
        <v>110000</v>
      </c>
    </row>
    <row r="93" spans="35:37" x14ac:dyDescent="0.3">
      <c r="AI93" s="2">
        <v>2</v>
      </c>
      <c r="AJ93" s="20" t="s">
        <v>54</v>
      </c>
      <c r="AK93" s="22">
        <v>450000</v>
      </c>
    </row>
    <row r="94" spans="35:37" x14ac:dyDescent="0.3">
      <c r="AI94" s="2">
        <v>3</v>
      </c>
      <c r="AJ94" s="23" t="s">
        <v>55</v>
      </c>
      <c r="AK94" s="22">
        <v>200000</v>
      </c>
    </row>
    <row r="95" spans="35:37" x14ac:dyDescent="0.3">
      <c r="AI95" s="2">
        <v>4</v>
      </c>
      <c r="AJ95" s="5" t="s">
        <v>67</v>
      </c>
      <c r="AK95" s="22">
        <v>120000</v>
      </c>
    </row>
    <row r="96" spans="35:37" x14ac:dyDescent="0.3">
      <c r="AI96" s="2">
        <v>5</v>
      </c>
      <c r="AJ96" s="20" t="s">
        <v>58</v>
      </c>
      <c r="AK96" s="21">
        <v>85000</v>
      </c>
    </row>
    <row r="97" spans="35:37" x14ac:dyDescent="0.3">
      <c r="AI97" s="2">
        <v>6</v>
      </c>
      <c r="AJ97" s="20" t="s">
        <v>59</v>
      </c>
      <c r="AK97" s="22">
        <v>95000</v>
      </c>
    </row>
    <row r="98" spans="35:37" ht="28.8" x14ac:dyDescent="0.3">
      <c r="AI98" s="2">
        <v>7</v>
      </c>
      <c r="AJ98" s="5" t="s">
        <v>60</v>
      </c>
      <c r="AK98" s="21">
        <v>160000</v>
      </c>
    </row>
    <row r="99" spans="35:37" x14ac:dyDescent="0.3">
      <c r="AI99" s="2">
        <v>8</v>
      </c>
      <c r="AJ99" s="20" t="s">
        <v>61</v>
      </c>
      <c r="AK99" s="21">
        <v>80000</v>
      </c>
    </row>
    <row r="100" spans="35:37" x14ac:dyDescent="0.3">
      <c r="AI100" s="2">
        <v>9</v>
      </c>
      <c r="AJ100" s="20" t="s">
        <v>62</v>
      </c>
      <c r="AK100" s="22">
        <v>70000</v>
      </c>
    </row>
    <row r="101" spans="35:37" x14ac:dyDescent="0.3">
      <c r="AI101" s="2">
        <v>10</v>
      </c>
      <c r="AJ101" s="20" t="s">
        <v>49</v>
      </c>
      <c r="AK101" s="22">
        <v>45000</v>
      </c>
    </row>
    <row r="102" spans="35:37" ht="28.8" x14ac:dyDescent="0.3">
      <c r="AI102" s="2">
        <v>11</v>
      </c>
      <c r="AJ102" s="5" t="s">
        <v>63</v>
      </c>
      <c r="AK102" s="22">
        <v>190000</v>
      </c>
    </row>
    <row r="103" spans="35:37" x14ac:dyDescent="0.3">
      <c r="AI103" s="2">
        <v>12</v>
      </c>
      <c r="AJ103" s="20" t="s">
        <v>50</v>
      </c>
      <c r="AK103" s="22">
        <v>550000</v>
      </c>
    </row>
    <row r="104" spans="35:37" x14ac:dyDescent="0.3">
      <c r="AI104" s="24" t="s">
        <v>51</v>
      </c>
      <c r="AJ104" s="25"/>
      <c r="AK104" s="28">
        <f>SUM(AK92)+SUM(AK93:AK96)+SUM(AK97:AK99)+SUM(AK100:AK103)</f>
        <v>2155000</v>
      </c>
    </row>
  </sheetData>
  <mergeCells count="18">
    <mergeCell ref="AI71:AJ71"/>
    <mergeCell ref="AI88:AJ88"/>
    <mergeCell ref="AI104:AJ104"/>
    <mergeCell ref="AY16:AZ16"/>
    <mergeCell ref="AY32:AZ32"/>
    <mergeCell ref="AY48:AZ48"/>
    <mergeCell ref="R42:S42"/>
    <mergeCell ref="AI34:AJ34"/>
    <mergeCell ref="AI17:AJ17"/>
    <mergeCell ref="AI51:AJ51"/>
    <mergeCell ref="AQ16:AR16"/>
    <mergeCell ref="AQ32:AR32"/>
    <mergeCell ref="AQ48:AR48"/>
    <mergeCell ref="R28:S28"/>
    <mergeCell ref="R14:S14"/>
    <mergeCell ref="A5:B5"/>
    <mergeCell ref="A11:B11"/>
    <mergeCell ref="A17:B17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D94DB-5F82-48D3-93FB-B507D01FD77D}">
  <dimension ref="A1:AR69"/>
  <sheetViews>
    <sheetView topLeftCell="H46" zoomScale="55" zoomScaleNormal="55" workbookViewId="0">
      <selection activeCell="V67" sqref="V67"/>
    </sheetView>
  </sheetViews>
  <sheetFormatPr defaultRowHeight="14.4" x14ac:dyDescent="0.3"/>
  <cols>
    <col min="1" max="1" width="16.21875" customWidth="1"/>
    <col min="5" max="5" width="10" bestFit="1" customWidth="1"/>
    <col min="6" max="6" width="9" bestFit="1" customWidth="1"/>
    <col min="8" max="8" width="10" bestFit="1" customWidth="1"/>
    <col min="12" max="12" width="10" bestFit="1" customWidth="1"/>
    <col min="14" max="14" width="11" bestFit="1" customWidth="1"/>
    <col min="16" max="16" width="16.6640625" customWidth="1"/>
    <col min="21" max="21" width="9.6640625" customWidth="1"/>
    <col min="31" max="31" width="22.21875" customWidth="1"/>
    <col min="36" max="36" width="10.77734375" customWidth="1"/>
  </cols>
  <sheetData>
    <row r="1" spans="1:20" ht="18" x14ac:dyDescent="0.3">
      <c r="A1" s="29" t="s">
        <v>77</v>
      </c>
      <c r="J1" s="29" t="s">
        <v>78</v>
      </c>
      <c r="T1" s="29" t="s">
        <v>88</v>
      </c>
    </row>
    <row r="3" spans="1:20" x14ac:dyDescent="0.3">
      <c r="A3" s="1" t="s">
        <v>68</v>
      </c>
      <c r="J3" s="1" t="s">
        <v>79</v>
      </c>
      <c r="T3" s="1" t="s">
        <v>89</v>
      </c>
    </row>
    <row r="4" spans="1:20" x14ac:dyDescent="0.3">
      <c r="A4" s="30"/>
      <c r="J4" s="30"/>
      <c r="T4" s="30"/>
    </row>
    <row r="5" spans="1:20" x14ac:dyDescent="0.3">
      <c r="A5" s="30" t="s">
        <v>69</v>
      </c>
      <c r="J5" s="30" t="s">
        <v>80</v>
      </c>
      <c r="T5" s="30" t="s">
        <v>108</v>
      </c>
    </row>
    <row r="6" spans="1:20" x14ac:dyDescent="0.3">
      <c r="A6" s="30"/>
      <c r="J6" s="30"/>
      <c r="T6" s="30"/>
    </row>
    <row r="7" spans="1:20" x14ac:dyDescent="0.3">
      <c r="A7" s="30" t="s">
        <v>70</v>
      </c>
      <c r="J7" s="30" t="s">
        <v>81</v>
      </c>
      <c r="T7" s="30" t="s">
        <v>90</v>
      </c>
    </row>
    <row r="8" spans="1:20" x14ac:dyDescent="0.3">
      <c r="A8" s="30"/>
      <c r="J8" s="30"/>
      <c r="T8" s="30"/>
    </row>
    <row r="9" spans="1:20" x14ac:dyDescent="0.3">
      <c r="A9" s="30" t="s">
        <v>71</v>
      </c>
      <c r="J9" s="30" t="s">
        <v>82</v>
      </c>
      <c r="T9" s="30" t="s">
        <v>91</v>
      </c>
    </row>
    <row r="10" spans="1:20" x14ac:dyDescent="0.3">
      <c r="A10" s="30"/>
      <c r="J10" s="30"/>
      <c r="T10" s="30"/>
    </row>
    <row r="11" spans="1:20" x14ac:dyDescent="0.3">
      <c r="A11" s="30" t="s">
        <v>72</v>
      </c>
      <c r="J11" s="30" t="s">
        <v>83</v>
      </c>
      <c r="T11" s="30" t="s">
        <v>92</v>
      </c>
    </row>
    <row r="12" spans="1:20" x14ac:dyDescent="0.3">
      <c r="A12" s="30"/>
      <c r="J12" s="30"/>
      <c r="T12" s="30"/>
    </row>
    <row r="13" spans="1:20" x14ac:dyDescent="0.3">
      <c r="A13" s="30" t="s">
        <v>73</v>
      </c>
      <c r="J13" s="30" t="s">
        <v>84</v>
      </c>
      <c r="T13" s="30" t="s">
        <v>93</v>
      </c>
    </row>
    <row r="14" spans="1:20" x14ac:dyDescent="0.3">
      <c r="A14" s="30"/>
      <c r="J14" s="30"/>
      <c r="T14" s="30"/>
    </row>
    <row r="15" spans="1:20" x14ac:dyDescent="0.3">
      <c r="A15" s="30" t="s">
        <v>74</v>
      </c>
      <c r="J15" s="30" t="s">
        <v>85</v>
      </c>
      <c r="T15" s="30" t="s">
        <v>94</v>
      </c>
    </row>
    <row r="16" spans="1:20" x14ac:dyDescent="0.3">
      <c r="J16" s="30"/>
      <c r="T16" s="30"/>
    </row>
    <row r="17" spans="1:44" x14ac:dyDescent="0.3">
      <c r="A17" s="1" t="s">
        <v>75</v>
      </c>
      <c r="J17" s="30" t="s">
        <v>86</v>
      </c>
      <c r="T17" s="30" t="s">
        <v>95</v>
      </c>
    </row>
    <row r="18" spans="1:44" x14ac:dyDescent="0.3">
      <c r="A18" s="30"/>
    </row>
    <row r="19" spans="1:44" x14ac:dyDescent="0.3">
      <c r="A19" s="30" t="s">
        <v>76</v>
      </c>
      <c r="J19" s="1" t="s">
        <v>75</v>
      </c>
      <c r="T19" s="1" t="s">
        <v>75</v>
      </c>
    </row>
    <row r="20" spans="1:44" x14ac:dyDescent="0.3">
      <c r="J20" s="30"/>
      <c r="T20" s="30"/>
    </row>
    <row r="21" spans="1:44" x14ac:dyDescent="0.3">
      <c r="J21" s="31" t="s">
        <v>87</v>
      </c>
      <c r="T21" s="31" t="s">
        <v>96</v>
      </c>
    </row>
    <row r="22" spans="1:44" x14ac:dyDescent="0.3">
      <c r="T22" s="30"/>
    </row>
    <row r="23" spans="1:44" x14ac:dyDescent="0.3">
      <c r="T23" s="30" t="s">
        <v>128</v>
      </c>
    </row>
    <row r="24" spans="1:44" x14ac:dyDescent="0.3">
      <c r="T24" s="30"/>
    </row>
    <row r="25" spans="1:44" x14ac:dyDescent="0.3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7" spans="1:44" x14ac:dyDescent="0.3">
      <c r="A27" t="s">
        <v>103</v>
      </c>
      <c r="E27" s="1" t="s">
        <v>16</v>
      </c>
      <c r="P27" t="s">
        <v>103</v>
      </c>
      <c r="T27" s="1" t="s">
        <v>17</v>
      </c>
      <c r="AE27" t="s">
        <v>103</v>
      </c>
      <c r="AI27" s="1" t="s">
        <v>18</v>
      </c>
    </row>
    <row r="28" spans="1:44" ht="28.8" x14ac:dyDescent="0.3">
      <c r="A28" s="34" t="s">
        <v>97</v>
      </c>
      <c r="B28" s="34" t="s">
        <v>116</v>
      </c>
      <c r="C28" s="34" t="s">
        <v>117</v>
      </c>
      <c r="D28" s="34" t="s">
        <v>118</v>
      </c>
      <c r="E28" s="34" t="s">
        <v>119</v>
      </c>
      <c r="F28" s="34" t="s">
        <v>120</v>
      </c>
      <c r="G28" s="34" t="s">
        <v>121</v>
      </c>
      <c r="H28" s="34" t="s">
        <v>122</v>
      </c>
      <c r="I28" s="34" t="s">
        <v>123</v>
      </c>
      <c r="J28" s="34" t="s">
        <v>124</v>
      </c>
      <c r="K28" s="34" t="s">
        <v>125</v>
      </c>
      <c r="L28" s="34" t="s">
        <v>126</v>
      </c>
      <c r="M28" s="34" t="s">
        <v>127</v>
      </c>
      <c r="N28" s="34" t="s">
        <v>98</v>
      </c>
      <c r="P28" s="34" t="s">
        <v>97</v>
      </c>
      <c r="Q28" s="34" t="s">
        <v>116</v>
      </c>
      <c r="R28" s="34" t="s">
        <v>117</v>
      </c>
      <c r="S28" s="34" t="s">
        <v>118</v>
      </c>
      <c r="T28" s="34" t="s">
        <v>119</v>
      </c>
      <c r="U28" s="34" t="s">
        <v>120</v>
      </c>
      <c r="V28" s="34" t="s">
        <v>121</v>
      </c>
      <c r="W28" s="34" t="s">
        <v>122</v>
      </c>
      <c r="X28" s="34" t="s">
        <v>123</v>
      </c>
      <c r="Y28" s="34" t="s">
        <v>124</v>
      </c>
      <c r="Z28" s="34" t="s">
        <v>125</v>
      </c>
      <c r="AA28" s="34" t="s">
        <v>126</v>
      </c>
      <c r="AB28" s="34" t="s">
        <v>127</v>
      </c>
      <c r="AC28" s="34" t="s">
        <v>98</v>
      </c>
      <c r="AE28" s="34" t="s">
        <v>97</v>
      </c>
      <c r="AF28" s="34" t="s">
        <v>116</v>
      </c>
      <c r="AG28" s="34" t="s">
        <v>117</v>
      </c>
      <c r="AH28" s="34" t="s">
        <v>118</v>
      </c>
      <c r="AI28" s="34" t="s">
        <v>119</v>
      </c>
      <c r="AJ28" s="34" t="s">
        <v>120</v>
      </c>
      <c r="AK28" s="34" t="s">
        <v>121</v>
      </c>
      <c r="AL28" s="34" t="s">
        <v>122</v>
      </c>
      <c r="AM28" s="34" t="s">
        <v>123</v>
      </c>
      <c r="AN28" s="34" t="s">
        <v>124</v>
      </c>
      <c r="AO28" s="34" t="s">
        <v>125</v>
      </c>
      <c r="AP28" s="34" t="s">
        <v>126</v>
      </c>
      <c r="AQ28" s="34" t="s">
        <v>127</v>
      </c>
      <c r="AR28" s="34" t="s">
        <v>98</v>
      </c>
    </row>
    <row r="29" spans="1:44" ht="28.8" x14ac:dyDescent="0.3">
      <c r="A29" s="35" t="s">
        <v>106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1</v>
      </c>
      <c r="I29" s="36">
        <v>0</v>
      </c>
      <c r="J29" s="36">
        <v>0</v>
      </c>
      <c r="K29" s="36">
        <v>1</v>
      </c>
      <c r="L29" s="36">
        <v>0</v>
      </c>
      <c r="M29" s="36">
        <v>0</v>
      </c>
      <c r="N29" s="44">
        <f>SUM(B29:M29)</f>
        <v>2</v>
      </c>
      <c r="P29" s="35" t="s">
        <v>106</v>
      </c>
      <c r="Q29" s="36">
        <v>0</v>
      </c>
      <c r="R29" s="36">
        <v>0</v>
      </c>
      <c r="S29" s="36">
        <v>0</v>
      </c>
      <c r="T29" s="36">
        <v>0</v>
      </c>
      <c r="U29" s="36">
        <v>1</v>
      </c>
      <c r="V29" s="36">
        <v>0</v>
      </c>
      <c r="W29" s="36">
        <v>1</v>
      </c>
      <c r="X29" s="36">
        <v>0</v>
      </c>
      <c r="Y29" s="36">
        <v>1</v>
      </c>
      <c r="Z29" s="36">
        <v>1</v>
      </c>
      <c r="AA29" s="36">
        <v>0</v>
      </c>
      <c r="AB29" s="36">
        <v>1</v>
      </c>
      <c r="AC29" s="44">
        <f>SUM(Q29:AB29)</f>
        <v>5</v>
      </c>
      <c r="AE29" s="35" t="s">
        <v>106</v>
      </c>
      <c r="AF29" s="36">
        <v>0</v>
      </c>
      <c r="AG29" s="36">
        <v>0</v>
      </c>
      <c r="AH29" s="36">
        <v>1</v>
      </c>
      <c r="AI29" s="36">
        <v>0</v>
      </c>
      <c r="AJ29" s="36">
        <v>0</v>
      </c>
      <c r="AK29" s="36">
        <v>0</v>
      </c>
      <c r="AL29" s="36">
        <v>1</v>
      </c>
      <c r="AM29" s="36">
        <v>0</v>
      </c>
      <c r="AN29" s="36">
        <v>1</v>
      </c>
      <c r="AO29" s="36">
        <v>1</v>
      </c>
      <c r="AP29" s="36">
        <v>1</v>
      </c>
      <c r="AQ29" s="36">
        <v>1</v>
      </c>
      <c r="AR29" s="44">
        <f>SUM(AF29:AQ29)</f>
        <v>6</v>
      </c>
    </row>
    <row r="30" spans="1:44" ht="28.8" x14ac:dyDescent="0.3">
      <c r="A30" s="35" t="s">
        <v>78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1</v>
      </c>
      <c r="M30" s="36">
        <v>0</v>
      </c>
      <c r="N30" s="44">
        <f>SUM(B30:M30)</f>
        <v>1</v>
      </c>
      <c r="P30" s="35" t="s">
        <v>78</v>
      </c>
      <c r="Q30" s="36">
        <v>0</v>
      </c>
      <c r="R30" s="36">
        <v>0</v>
      </c>
      <c r="S30" s="36">
        <v>1</v>
      </c>
      <c r="T30" s="36">
        <v>0</v>
      </c>
      <c r="U30" s="36">
        <v>0</v>
      </c>
      <c r="V30" s="36">
        <v>0</v>
      </c>
      <c r="W30" s="36">
        <v>1</v>
      </c>
      <c r="X30" s="36">
        <v>0</v>
      </c>
      <c r="Y30" s="36">
        <v>0</v>
      </c>
      <c r="Z30" s="36">
        <v>0</v>
      </c>
      <c r="AA30" s="36">
        <v>0</v>
      </c>
      <c r="AB30" s="36">
        <v>1</v>
      </c>
      <c r="AC30" s="44">
        <f>SUM(Q30:AB30)</f>
        <v>3</v>
      </c>
      <c r="AE30" s="35" t="s">
        <v>78</v>
      </c>
      <c r="AF30" s="36">
        <v>0</v>
      </c>
      <c r="AG30" s="36">
        <v>0</v>
      </c>
      <c r="AH30" s="36">
        <v>1</v>
      </c>
      <c r="AI30" s="36">
        <v>0</v>
      </c>
      <c r="AJ30" s="36">
        <v>0</v>
      </c>
      <c r="AK30" s="36">
        <v>0</v>
      </c>
      <c r="AL30" s="36">
        <v>0</v>
      </c>
      <c r="AM30" s="36">
        <v>1</v>
      </c>
      <c r="AN30" s="36">
        <v>0</v>
      </c>
      <c r="AO30" s="36">
        <v>0</v>
      </c>
      <c r="AP30" s="36">
        <v>1</v>
      </c>
      <c r="AQ30" s="36">
        <v>1</v>
      </c>
      <c r="AR30" s="44">
        <f>SUM(AF30:AQ30)</f>
        <v>4</v>
      </c>
    </row>
    <row r="31" spans="1:44" ht="28.8" x14ac:dyDescent="0.3">
      <c r="A31" s="35" t="s">
        <v>107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1</v>
      </c>
      <c r="N31" s="44">
        <f>SUM(B31:M31)</f>
        <v>1</v>
      </c>
      <c r="P31" s="35" t="s">
        <v>107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0</v>
      </c>
      <c r="X31" s="36">
        <v>0</v>
      </c>
      <c r="Y31" s="36">
        <v>0</v>
      </c>
      <c r="Z31" s="36">
        <v>0</v>
      </c>
      <c r="AA31" s="36">
        <v>0</v>
      </c>
      <c r="AB31" s="36">
        <v>1</v>
      </c>
      <c r="AC31" s="44">
        <f>SUM(Q31:AB31)</f>
        <v>1</v>
      </c>
      <c r="AE31" s="35" t="s">
        <v>107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v>1</v>
      </c>
      <c r="AR31" s="44">
        <f>SUM(AF31:AQ31)</f>
        <v>1</v>
      </c>
    </row>
    <row r="32" spans="1:44" ht="28.8" x14ac:dyDescent="0.3">
      <c r="A32" s="35" t="s">
        <v>109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44">
        <f>SUM(B32:M32)</f>
        <v>0</v>
      </c>
      <c r="P32" s="35" t="s">
        <v>109</v>
      </c>
      <c r="Q32" s="36">
        <v>0</v>
      </c>
      <c r="R32" s="36">
        <v>0</v>
      </c>
      <c r="S32" s="36">
        <v>0</v>
      </c>
      <c r="T32" s="36">
        <v>0</v>
      </c>
      <c r="U32" s="36">
        <v>0</v>
      </c>
      <c r="V32" s="36">
        <v>0</v>
      </c>
      <c r="W32" s="36">
        <v>0</v>
      </c>
      <c r="X32" s="36">
        <v>0</v>
      </c>
      <c r="Y32" s="36">
        <v>0</v>
      </c>
      <c r="Z32" s="36">
        <v>0</v>
      </c>
      <c r="AA32" s="36">
        <v>1</v>
      </c>
      <c r="AB32" s="36">
        <v>1</v>
      </c>
      <c r="AC32" s="44">
        <f>SUM(Q32:AB32)</f>
        <v>2</v>
      </c>
      <c r="AE32" s="35" t="s">
        <v>109</v>
      </c>
      <c r="AF32" s="36">
        <v>0</v>
      </c>
      <c r="AG32" s="36">
        <v>0</v>
      </c>
      <c r="AH32" s="36">
        <v>0</v>
      </c>
      <c r="AI32" s="36">
        <v>0</v>
      </c>
      <c r="AJ32" s="36">
        <v>0</v>
      </c>
      <c r="AK32" s="36">
        <v>0</v>
      </c>
      <c r="AL32" s="36">
        <v>0</v>
      </c>
      <c r="AM32" s="36">
        <v>0</v>
      </c>
      <c r="AN32" s="36">
        <v>0</v>
      </c>
      <c r="AO32" s="36">
        <v>0</v>
      </c>
      <c r="AP32" s="36">
        <v>1</v>
      </c>
      <c r="AQ32" s="36">
        <v>2</v>
      </c>
      <c r="AR32" s="44">
        <f>SUM(AF32:AQ32)</f>
        <v>3</v>
      </c>
    </row>
    <row r="33" spans="1:44" x14ac:dyDescent="0.3">
      <c r="A33" s="40" t="s">
        <v>14</v>
      </c>
      <c r="B33" s="41">
        <f>SUM(B29:B32)</f>
        <v>0</v>
      </c>
      <c r="C33" s="41">
        <f t="shared" ref="C33:M33" si="0">SUM(C29:C32)</f>
        <v>0</v>
      </c>
      <c r="D33" s="41">
        <f t="shared" si="0"/>
        <v>0</v>
      </c>
      <c r="E33" s="41">
        <f t="shared" si="0"/>
        <v>0</v>
      </c>
      <c r="F33" s="41">
        <f t="shared" si="0"/>
        <v>0</v>
      </c>
      <c r="G33" s="41">
        <f t="shared" si="0"/>
        <v>0</v>
      </c>
      <c r="H33" s="41">
        <f t="shared" si="0"/>
        <v>1</v>
      </c>
      <c r="I33" s="41">
        <f t="shared" si="0"/>
        <v>0</v>
      </c>
      <c r="J33" s="41">
        <f t="shared" si="0"/>
        <v>0</v>
      </c>
      <c r="K33" s="41">
        <f t="shared" si="0"/>
        <v>1</v>
      </c>
      <c r="L33" s="41">
        <f t="shared" si="0"/>
        <v>1</v>
      </c>
      <c r="M33" s="41">
        <f t="shared" si="0"/>
        <v>1</v>
      </c>
      <c r="N33" s="41">
        <f>SUM(N29:N32)</f>
        <v>4</v>
      </c>
      <c r="P33" s="40" t="s">
        <v>14</v>
      </c>
      <c r="Q33" s="41">
        <f>SUM(Q29:Q32)</f>
        <v>0</v>
      </c>
      <c r="R33" s="41">
        <f t="shared" ref="R33" si="1">SUM(R29:R32)</f>
        <v>0</v>
      </c>
      <c r="S33" s="41">
        <f t="shared" ref="S33" si="2">SUM(S29:S32)</f>
        <v>1</v>
      </c>
      <c r="T33" s="41">
        <f t="shared" ref="T33" si="3">SUM(T29:T32)</f>
        <v>0</v>
      </c>
      <c r="U33" s="41">
        <f t="shared" ref="U33" si="4">SUM(U29:U32)</f>
        <v>1</v>
      </c>
      <c r="V33" s="41">
        <f t="shared" ref="V33" si="5">SUM(V29:V32)</f>
        <v>0</v>
      </c>
      <c r="W33" s="41">
        <f t="shared" ref="W33" si="6">SUM(W29:W32)</f>
        <v>2</v>
      </c>
      <c r="X33" s="41">
        <f t="shared" ref="X33" si="7">SUM(X29:X32)</f>
        <v>0</v>
      </c>
      <c r="Y33" s="41">
        <f t="shared" ref="Y33" si="8">SUM(Y29:Y32)</f>
        <v>1</v>
      </c>
      <c r="Z33" s="41">
        <f t="shared" ref="Z33" si="9">SUM(Z29:Z32)</f>
        <v>1</v>
      </c>
      <c r="AA33" s="41">
        <f t="shared" ref="AA33" si="10">SUM(AA29:AA32)</f>
        <v>1</v>
      </c>
      <c r="AB33" s="41">
        <f t="shared" ref="AB33" si="11">SUM(AB29:AB32)</f>
        <v>4</v>
      </c>
      <c r="AC33" s="41">
        <f>SUM(AC29:AC32)</f>
        <v>11</v>
      </c>
      <c r="AE33" s="40" t="s">
        <v>14</v>
      </c>
      <c r="AF33" s="41">
        <f>SUM(AF29:AF32)</f>
        <v>0</v>
      </c>
      <c r="AG33" s="41">
        <f t="shared" ref="AG33" si="12">SUM(AG29:AG32)</f>
        <v>0</v>
      </c>
      <c r="AH33" s="41">
        <f t="shared" ref="AH33" si="13">SUM(AH29:AH32)</f>
        <v>2</v>
      </c>
      <c r="AI33" s="41">
        <f t="shared" ref="AI33" si="14">SUM(AI29:AI32)</f>
        <v>0</v>
      </c>
      <c r="AJ33" s="41">
        <f t="shared" ref="AJ33" si="15">SUM(AJ29:AJ32)</f>
        <v>0</v>
      </c>
      <c r="AK33" s="41">
        <f t="shared" ref="AK33" si="16">SUM(AK29:AK32)</f>
        <v>0</v>
      </c>
      <c r="AL33" s="41">
        <f t="shared" ref="AL33" si="17">SUM(AL29:AL32)</f>
        <v>1</v>
      </c>
      <c r="AM33" s="41">
        <f t="shared" ref="AM33" si="18">SUM(AM29:AM32)</f>
        <v>1</v>
      </c>
      <c r="AN33" s="41">
        <f t="shared" ref="AN33" si="19">SUM(AN29:AN32)</f>
        <v>1</v>
      </c>
      <c r="AO33" s="41">
        <f t="shared" ref="AO33" si="20">SUM(AO29:AO32)</f>
        <v>1</v>
      </c>
      <c r="AP33" s="41">
        <f t="shared" ref="AP33" si="21">SUM(AP29:AP32)</f>
        <v>3</v>
      </c>
      <c r="AQ33" s="41">
        <f t="shared" ref="AQ33" si="22">SUM(AQ29:AQ32)</f>
        <v>5</v>
      </c>
      <c r="AR33" s="41">
        <f>SUM(AR29:AR32)</f>
        <v>14</v>
      </c>
    </row>
    <row r="34" spans="1:44" x14ac:dyDescent="0.3">
      <c r="A34" s="32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P34" s="32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E34" s="32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</row>
    <row r="35" spans="1:44" x14ac:dyDescent="0.3">
      <c r="A35" t="s">
        <v>104</v>
      </c>
      <c r="E35" s="1" t="s">
        <v>16</v>
      </c>
      <c r="P35" t="s">
        <v>104</v>
      </c>
      <c r="T35" s="1" t="s">
        <v>17</v>
      </c>
      <c r="AE35" t="s">
        <v>104</v>
      </c>
      <c r="AI35" s="1" t="s">
        <v>18</v>
      </c>
    </row>
    <row r="36" spans="1:44" ht="28.8" x14ac:dyDescent="0.3">
      <c r="A36" s="38" t="s">
        <v>97</v>
      </c>
      <c r="B36" s="38" t="s">
        <v>99</v>
      </c>
      <c r="C36" s="38" t="s">
        <v>100</v>
      </c>
      <c r="D36" s="38" t="s">
        <v>101</v>
      </c>
      <c r="E36" s="38" t="s">
        <v>102</v>
      </c>
      <c r="F36" s="38" t="s">
        <v>98</v>
      </c>
      <c r="P36" s="38" t="s">
        <v>97</v>
      </c>
      <c r="Q36" s="38" t="s">
        <v>99</v>
      </c>
      <c r="R36" s="38" t="s">
        <v>100</v>
      </c>
      <c r="S36" s="38" t="s">
        <v>101</v>
      </c>
      <c r="T36" s="38" t="s">
        <v>102</v>
      </c>
      <c r="U36" s="38" t="s">
        <v>98</v>
      </c>
      <c r="AE36" s="38" t="s">
        <v>97</v>
      </c>
      <c r="AF36" s="38" t="s">
        <v>99</v>
      </c>
      <c r="AG36" s="38" t="s">
        <v>100</v>
      </c>
      <c r="AH36" s="38" t="s">
        <v>101</v>
      </c>
      <c r="AI36" s="38" t="s">
        <v>102</v>
      </c>
      <c r="AJ36" s="38" t="s">
        <v>98</v>
      </c>
    </row>
    <row r="37" spans="1:44" ht="28.8" x14ac:dyDescent="0.3">
      <c r="A37" s="35" t="s">
        <v>106</v>
      </c>
      <c r="B37" s="39">
        <v>1</v>
      </c>
      <c r="C37" s="39">
        <v>1</v>
      </c>
      <c r="D37" s="39">
        <v>1</v>
      </c>
      <c r="E37" s="39">
        <v>1</v>
      </c>
      <c r="F37" s="43">
        <f>SUM(B37:E37)</f>
        <v>4</v>
      </c>
      <c r="P37" s="35" t="s">
        <v>106</v>
      </c>
      <c r="Q37" s="39">
        <v>1</v>
      </c>
      <c r="R37" s="39">
        <v>0</v>
      </c>
      <c r="S37" s="39">
        <v>1</v>
      </c>
      <c r="T37" s="39">
        <v>1</v>
      </c>
      <c r="U37" s="43">
        <f>SUM(Q37:T37)</f>
        <v>3</v>
      </c>
      <c r="AE37" s="35" t="s">
        <v>106</v>
      </c>
      <c r="AF37" s="39">
        <v>1</v>
      </c>
      <c r="AG37" s="39">
        <v>0</v>
      </c>
      <c r="AH37" s="39">
        <v>1</v>
      </c>
      <c r="AI37" s="39">
        <v>2</v>
      </c>
      <c r="AJ37" s="43">
        <f>SUM(AF37:AI37)</f>
        <v>4</v>
      </c>
    </row>
    <row r="38" spans="1:44" ht="28.8" x14ac:dyDescent="0.3">
      <c r="A38" s="35" t="s">
        <v>78</v>
      </c>
      <c r="B38" s="39">
        <v>0</v>
      </c>
      <c r="C38" s="39">
        <v>1</v>
      </c>
      <c r="D38" s="39">
        <v>1</v>
      </c>
      <c r="E38" s="39">
        <v>0</v>
      </c>
      <c r="F38" s="43">
        <f>SUM(B38:E38)</f>
        <v>2</v>
      </c>
      <c r="P38" s="35" t="s">
        <v>78</v>
      </c>
      <c r="Q38" s="39">
        <v>0</v>
      </c>
      <c r="R38" s="39">
        <v>1</v>
      </c>
      <c r="S38" s="39">
        <v>1</v>
      </c>
      <c r="T38" s="39">
        <v>0</v>
      </c>
      <c r="U38" s="43">
        <f>SUM(Q38:T38)</f>
        <v>2</v>
      </c>
      <c r="AE38" s="35" t="s">
        <v>78</v>
      </c>
      <c r="AF38" s="39">
        <v>0</v>
      </c>
      <c r="AG38" s="39">
        <v>1</v>
      </c>
      <c r="AH38" s="39">
        <v>1</v>
      </c>
      <c r="AI38" s="39">
        <v>1</v>
      </c>
      <c r="AJ38" s="43">
        <f>SUM(AF38:AI38)</f>
        <v>3</v>
      </c>
    </row>
    <row r="39" spans="1:44" ht="28.8" x14ac:dyDescent="0.3">
      <c r="A39" s="35" t="s">
        <v>107</v>
      </c>
      <c r="B39" s="39">
        <v>0</v>
      </c>
      <c r="C39" s="39">
        <v>0</v>
      </c>
      <c r="D39" s="39">
        <v>0</v>
      </c>
      <c r="E39" s="39">
        <v>1</v>
      </c>
      <c r="F39" s="43">
        <f>SUM(B39:E39)</f>
        <v>1</v>
      </c>
      <c r="P39" s="35" t="s">
        <v>107</v>
      </c>
      <c r="Q39" s="39">
        <v>1</v>
      </c>
      <c r="R39" s="39">
        <v>0</v>
      </c>
      <c r="S39" s="39">
        <v>1</v>
      </c>
      <c r="T39" s="39">
        <v>1</v>
      </c>
      <c r="U39" s="43">
        <f>SUM(Q39:T39)</f>
        <v>3</v>
      </c>
      <c r="AE39" s="35" t="s">
        <v>107</v>
      </c>
      <c r="AF39" s="39">
        <v>1</v>
      </c>
      <c r="AG39" s="39">
        <v>0</v>
      </c>
      <c r="AH39" s="39">
        <v>1</v>
      </c>
      <c r="AI39" s="39">
        <v>1</v>
      </c>
      <c r="AJ39" s="43">
        <f>SUM(AF39:AI39)</f>
        <v>3</v>
      </c>
    </row>
    <row r="40" spans="1:44" ht="28.8" x14ac:dyDescent="0.3">
      <c r="A40" s="35" t="s">
        <v>109</v>
      </c>
      <c r="B40" s="39">
        <v>1</v>
      </c>
      <c r="C40" s="39">
        <v>0</v>
      </c>
      <c r="D40" s="39">
        <v>1</v>
      </c>
      <c r="E40" s="39">
        <v>1</v>
      </c>
      <c r="F40" s="43">
        <f>SUM(B40:E40)</f>
        <v>3</v>
      </c>
      <c r="P40" s="35" t="s">
        <v>109</v>
      </c>
      <c r="Q40" s="39">
        <v>1</v>
      </c>
      <c r="R40" s="39">
        <v>0</v>
      </c>
      <c r="S40" s="39">
        <v>1</v>
      </c>
      <c r="T40" s="39">
        <v>1</v>
      </c>
      <c r="U40" s="43">
        <f>SUM(Q40:T40)</f>
        <v>3</v>
      </c>
      <c r="AE40" s="35" t="s">
        <v>109</v>
      </c>
      <c r="AF40" s="39">
        <v>1</v>
      </c>
      <c r="AG40" s="39">
        <v>0</v>
      </c>
      <c r="AH40" s="39">
        <v>1</v>
      </c>
      <c r="AI40" s="39">
        <v>2</v>
      </c>
      <c r="AJ40" s="43">
        <f>SUM(AF40:AI40)</f>
        <v>4</v>
      </c>
    </row>
    <row r="41" spans="1:44" x14ac:dyDescent="0.3">
      <c r="A41" s="40" t="s">
        <v>14</v>
      </c>
      <c r="B41" s="41">
        <f>SUM(B37:B40)</f>
        <v>2</v>
      </c>
      <c r="C41" s="41">
        <f t="shared" ref="C41:E41" si="23">SUM(C37:C40)</f>
        <v>2</v>
      </c>
      <c r="D41" s="41">
        <f t="shared" si="23"/>
        <v>3</v>
      </c>
      <c r="E41" s="41">
        <f t="shared" si="23"/>
        <v>3</v>
      </c>
      <c r="F41" s="41">
        <f>SUM(F37:F40)</f>
        <v>10</v>
      </c>
      <c r="P41" s="40" t="s">
        <v>14</v>
      </c>
      <c r="Q41" s="41">
        <f>SUM(Q37:Q40)</f>
        <v>3</v>
      </c>
      <c r="R41" s="41">
        <f t="shared" ref="R41" si="24">SUM(R37:R40)</f>
        <v>1</v>
      </c>
      <c r="S41" s="41">
        <f t="shared" ref="S41" si="25">SUM(S37:S40)</f>
        <v>4</v>
      </c>
      <c r="T41" s="41">
        <f t="shared" ref="T41" si="26">SUM(T37:T40)</f>
        <v>3</v>
      </c>
      <c r="U41" s="41">
        <f>SUM(U37:U40)</f>
        <v>11</v>
      </c>
      <c r="AE41" s="40" t="s">
        <v>14</v>
      </c>
      <c r="AF41" s="41">
        <f>SUM(AF37:AF40)</f>
        <v>3</v>
      </c>
      <c r="AG41" s="41">
        <f t="shared" ref="AG41" si="27">SUM(AG37:AG40)</f>
        <v>1</v>
      </c>
      <c r="AH41" s="41">
        <f t="shared" ref="AH41" si="28">SUM(AH37:AH40)</f>
        <v>4</v>
      </c>
      <c r="AI41" s="41">
        <f t="shared" ref="AI41" si="29">SUM(AI37:AI40)</f>
        <v>6</v>
      </c>
      <c r="AJ41" s="41">
        <f>SUM(AJ37:AJ40)</f>
        <v>14</v>
      </c>
    </row>
    <row r="43" spans="1:44" x14ac:dyDescent="0.3">
      <c r="A43" t="s">
        <v>105</v>
      </c>
      <c r="E43" s="1" t="s">
        <v>16</v>
      </c>
      <c r="P43" t="s">
        <v>105</v>
      </c>
      <c r="T43" s="1" t="s">
        <v>17</v>
      </c>
      <c r="AE43" t="s">
        <v>105</v>
      </c>
      <c r="AI43" s="1" t="s">
        <v>18</v>
      </c>
    </row>
    <row r="44" spans="1:44" ht="28.8" x14ac:dyDescent="0.3">
      <c r="A44" s="38" t="s">
        <v>97</v>
      </c>
      <c r="B44" s="38" t="s">
        <v>99</v>
      </c>
      <c r="C44" s="38" t="s">
        <v>100</v>
      </c>
      <c r="D44" s="38" t="s">
        <v>101</v>
      </c>
      <c r="E44" s="38" t="s">
        <v>102</v>
      </c>
      <c r="F44" s="38" t="s">
        <v>98</v>
      </c>
      <c r="P44" s="38" t="s">
        <v>97</v>
      </c>
      <c r="Q44" s="38" t="s">
        <v>99</v>
      </c>
      <c r="R44" s="38" t="s">
        <v>100</v>
      </c>
      <c r="S44" s="38" t="s">
        <v>101</v>
      </c>
      <c r="T44" s="38" t="s">
        <v>102</v>
      </c>
      <c r="U44" s="38" t="s">
        <v>98</v>
      </c>
      <c r="AE44" s="38" t="s">
        <v>97</v>
      </c>
      <c r="AF44" s="38" t="s">
        <v>99</v>
      </c>
      <c r="AG44" s="38" t="s">
        <v>100</v>
      </c>
      <c r="AH44" s="38" t="s">
        <v>101</v>
      </c>
      <c r="AI44" s="38" t="s">
        <v>102</v>
      </c>
      <c r="AJ44" s="38" t="s">
        <v>98</v>
      </c>
    </row>
    <row r="45" spans="1:44" ht="28.8" x14ac:dyDescent="0.3">
      <c r="A45" s="35" t="s">
        <v>106</v>
      </c>
      <c r="B45" s="39">
        <v>0</v>
      </c>
      <c r="C45" s="39">
        <v>1</v>
      </c>
      <c r="D45" s="39">
        <v>1</v>
      </c>
      <c r="E45" s="39">
        <v>1</v>
      </c>
      <c r="F45" s="43">
        <f>SUM(B45:E45)</f>
        <v>3</v>
      </c>
      <c r="P45" s="35" t="s">
        <v>106</v>
      </c>
      <c r="Q45" s="39">
        <v>0</v>
      </c>
      <c r="R45" s="39">
        <v>1</v>
      </c>
      <c r="S45" s="39">
        <v>2</v>
      </c>
      <c r="T45" s="39">
        <v>2</v>
      </c>
      <c r="U45" s="43">
        <f>SUM(Q45:T45)</f>
        <v>5</v>
      </c>
      <c r="AE45" s="35" t="s">
        <v>106</v>
      </c>
      <c r="AF45" s="39">
        <v>0</v>
      </c>
      <c r="AG45" s="39">
        <v>1</v>
      </c>
      <c r="AH45" s="39">
        <v>2</v>
      </c>
      <c r="AI45" s="39">
        <v>3</v>
      </c>
      <c r="AJ45" s="43">
        <f>SUM(AF45:AI45)</f>
        <v>6</v>
      </c>
    </row>
    <row r="46" spans="1:44" ht="28.8" x14ac:dyDescent="0.3">
      <c r="A46" s="35" t="s">
        <v>78</v>
      </c>
      <c r="B46" s="39">
        <v>0</v>
      </c>
      <c r="C46" s="39">
        <v>1</v>
      </c>
      <c r="D46" s="39">
        <v>1</v>
      </c>
      <c r="E46" s="39">
        <v>0</v>
      </c>
      <c r="F46" s="43">
        <f>SUM(B46:E46)</f>
        <v>2</v>
      </c>
      <c r="P46" s="35" t="s">
        <v>78</v>
      </c>
      <c r="Q46" s="39">
        <v>1</v>
      </c>
      <c r="R46" s="39">
        <v>1</v>
      </c>
      <c r="S46" s="39">
        <v>1</v>
      </c>
      <c r="T46" s="39">
        <v>2</v>
      </c>
      <c r="U46" s="43">
        <f>SUM(Q46:T46)</f>
        <v>5</v>
      </c>
      <c r="AE46" s="35" t="s">
        <v>78</v>
      </c>
      <c r="AF46" s="39">
        <v>1</v>
      </c>
      <c r="AG46" s="39">
        <v>1</v>
      </c>
      <c r="AH46" s="39">
        <v>2</v>
      </c>
      <c r="AI46" s="39">
        <v>2</v>
      </c>
      <c r="AJ46" s="43">
        <f>SUM(AF46:AI46)</f>
        <v>6</v>
      </c>
    </row>
    <row r="47" spans="1:44" ht="28.8" x14ac:dyDescent="0.3">
      <c r="A47" s="35" t="s">
        <v>107</v>
      </c>
      <c r="B47" s="39">
        <v>0</v>
      </c>
      <c r="C47" s="39">
        <v>0</v>
      </c>
      <c r="D47" s="39">
        <v>0</v>
      </c>
      <c r="E47" s="39">
        <v>1</v>
      </c>
      <c r="F47" s="43">
        <f>SUM(B47:E47)</f>
        <v>1</v>
      </c>
      <c r="P47" s="35" t="s">
        <v>107</v>
      </c>
      <c r="Q47" s="39">
        <v>1</v>
      </c>
      <c r="R47" s="39">
        <v>0</v>
      </c>
      <c r="S47" s="39">
        <v>0</v>
      </c>
      <c r="T47" s="39">
        <v>1</v>
      </c>
      <c r="U47" s="43">
        <f>SUM(Q47:T47)</f>
        <v>2</v>
      </c>
      <c r="AE47" s="35" t="s">
        <v>107</v>
      </c>
      <c r="AF47" s="39">
        <v>1</v>
      </c>
      <c r="AG47" s="39">
        <v>1</v>
      </c>
      <c r="AH47" s="39">
        <v>0</v>
      </c>
      <c r="AI47" s="39">
        <v>1</v>
      </c>
      <c r="AJ47" s="43">
        <f>SUM(AF47:AI47)</f>
        <v>3</v>
      </c>
    </row>
    <row r="48" spans="1:44" ht="28.8" x14ac:dyDescent="0.3">
      <c r="A48" s="35" t="s">
        <v>109</v>
      </c>
      <c r="B48" s="39">
        <v>2</v>
      </c>
      <c r="C48" s="39">
        <v>0</v>
      </c>
      <c r="D48" s="39">
        <v>1</v>
      </c>
      <c r="E48" s="39">
        <v>1</v>
      </c>
      <c r="F48" s="43">
        <f>SUM(B48:E48)</f>
        <v>4</v>
      </c>
      <c r="P48" s="35" t="s">
        <v>109</v>
      </c>
      <c r="Q48" s="39">
        <v>2</v>
      </c>
      <c r="R48" s="39">
        <v>0</v>
      </c>
      <c r="S48" s="39">
        <v>2</v>
      </c>
      <c r="T48" s="39">
        <v>1</v>
      </c>
      <c r="U48" s="43">
        <f>SUM(Q48:T48)</f>
        <v>5</v>
      </c>
      <c r="AE48" s="35" t="s">
        <v>109</v>
      </c>
      <c r="AF48" s="39">
        <v>2</v>
      </c>
      <c r="AG48" s="39">
        <v>0</v>
      </c>
      <c r="AH48" s="39">
        <v>1</v>
      </c>
      <c r="AI48" s="39">
        <v>3</v>
      </c>
      <c r="AJ48" s="43">
        <f>SUM(AF48:AI48)</f>
        <v>6</v>
      </c>
    </row>
    <row r="49" spans="1:44" x14ac:dyDescent="0.3">
      <c r="A49" s="40" t="s">
        <v>14</v>
      </c>
      <c r="B49" s="41">
        <f>SUM(B45:B48)</f>
        <v>2</v>
      </c>
      <c r="C49" s="41">
        <f t="shared" ref="C49" si="30">SUM(C45:C48)</f>
        <v>2</v>
      </c>
      <c r="D49" s="41">
        <f t="shared" ref="D49" si="31">SUM(D45:D48)</f>
        <v>3</v>
      </c>
      <c r="E49" s="41">
        <f t="shared" ref="E49" si="32">SUM(E45:E48)</f>
        <v>3</v>
      </c>
      <c r="F49" s="41">
        <f>SUM(F45:F48)</f>
        <v>10</v>
      </c>
      <c r="P49" s="40" t="s">
        <v>14</v>
      </c>
      <c r="Q49" s="41">
        <f>SUM(Q45:Q48)</f>
        <v>4</v>
      </c>
      <c r="R49" s="41">
        <f t="shared" ref="R49" si="33">SUM(R45:R48)</f>
        <v>2</v>
      </c>
      <c r="S49" s="41">
        <f t="shared" ref="S49" si="34">SUM(S45:S48)</f>
        <v>5</v>
      </c>
      <c r="T49" s="41">
        <f t="shared" ref="T49" si="35">SUM(T45:T48)</f>
        <v>6</v>
      </c>
      <c r="U49" s="41">
        <f>SUM(U45:U48)</f>
        <v>17</v>
      </c>
      <c r="AE49" s="40" t="s">
        <v>14</v>
      </c>
      <c r="AF49" s="41">
        <f>SUM(AF45:AF48)</f>
        <v>4</v>
      </c>
      <c r="AG49" s="41">
        <f t="shared" ref="AG49" si="36">SUM(AG45:AG48)</f>
        <v>3</v>
      </c>
      <c r="AH49" s="41">
        <f t="shared" ref="AH49" si="37">SUM(AH45:AH48)</f>
        <v>5</v>
      </c>
      <c r="AI49" s="41">
        <f t="shared" ref="AI49" si="38">SUM(AI45:AI48)</f>
        <v>9</v>
      </c>
      <c r="AJ49" s="41">
        <f>SUM(AJ45:AJ48)</f>
        <v>21</v>
      </c>
    </row>
    <row r="51" spans="1:44" x14ac:dyDescent="0.3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</row>
    <row r="53" spans="1:44" x14ac:dyDescent="0.3">
      <c r="A53" t="s">
        <v>110</v>
      </c>
      <c r="E53" s="1" t="s">
        <v>16</v>
      </c>
      <c r="P53" t="s">
        <v>110</v>
      </c>
      <c r="T53" s="1" t="s">
        <v>17</v>
      </c>
      <c r="AE53" t="s">
        <v>110</v>
      </c>
      <c r="AI53" s="1" t="s">
        <v>18</v>
      </c>
    </row>
    <row r="54" spans="1:44" ht="28.8" x14ac:dyDescent="0.3">
      <c r="A54" s="34" t="s">
        <v>97</v>
      </c>
      <c r="B54" s="34" t="s">
        <v>116</v>
      </c>
      <c r="C54" s="34" t="s">
        <v>117</v>
      </c>
      <c r="D54" s="34" t="s">
        <v>118</v>
      </c>
      <c r="E54" s="34" t="s">
        <v>119</v>
      </c>
      <c r="F54" s="34" t="s">
        <v>120</v>
      </c>
      <c r="G54" s="34" t="s">
        <v>121</v>
      </c>
      <c r="H54" s="34" t="s">
        <v>122</v>
      </c>
      <c r="I54" s="34" t="s">
        <v>123</v>
      </c>
      <c r="J54" s="34" t="s">
        <v>124</v>
      </c>
      <c r="K54" s="34" t="s">
        <v>125</v>
      </c>
      <c r="L54" s="34" t="s">
        <v>126</v>
      </c>
      <c r="M54" s="34" t="s">
        <v>127</v>
      </c>
      <c r="N54" s="34" t="s">
        <v>98</v>
      </c>
      <c r="P54" s="34" t="s">
        <v>97</v>
      </c>
      <c r="Q54" s="34" t="s">
        <v>116</v>
      </c>
      <c r="R54" s="34" t="s">
        <v>117</v>
      </c>
      <c r="S54" s="34" t="s">
        <v>118</v>
      </c>
      <c r="T54" s="34" t="s">
        <v>119</v>
      </c>
      <c r="U54" s="34" t="s">
        <v>120</v>
      </c>
      <c r="V54" s="34" t="s">
        <v>121</v>
      </c>
      <c r="W54" s="34" t="s">
        <v>122</v>
      </c>
      <c r="X54" s="34" t="s">
        <v>123</v>
      </c>
      <c r="Y54" s="34" t="s">
        <v>124</v>
      </c>
      <c r="Z54" s="34" t="s">
        <v>125</v>
      </c>
      <c r="AA54" s="34" t="s">
        <v>126</v>
      </c>
      <c r="AB54" s="34" t="s">
        <v>127</v>
      </c>
      <c r="AC54" s="34" t="s">
        <v>98</v>
      </c>
      <c r="AE54" s="34" t="s">
        <v>97</v>
      </c>
      <c r="AF54" s="34" t="s">
        <v>116</v>
      </c>
      <c r="AG54" s="34" t="s">
        <v>117</v>
      </c>
      <c r="AH54" s="34" t="s">
        <v>118</v>
      </c>
      <c r="AI54" s="34" t="s">
        <v>119</v>
      </c>
      <c r="AJ54" s="34" t="s">
        <v>120</v>
      </c>
      <c r="AK54" s="34" t="s">
        <v>121</v>
      </c>
      <c r="AL54" s="34" t="s">
        <v>122</v>
      </c>
      <c r="AM54" s="34" t="s">
        <v>123</v>
      </c>
      <c r="AN54" s="34" t="s">
        <v>124</v>
      </c>
      <c r="AO54" s="34" t="s">
        <v>125</v>
      </c>
      <c r="AP54" s="34" t="s">
        <v>126</v>
      </c>
      <c r="AQ54" s="34" t="s">
        <v>127</v>
      </c>
      <c r="AR54" s="34" t="s">
        <v>98</v>
      </c>
    </row>
    <row r="55" spans="1:44" ht="30.6" customHeight="1" x14ac:dyDescent="0.3">
      <c r="A55" s="35" t="s">
        <v>114</v>
      </c>
      <c r="B55" s="36">
        <v>0</v>
      </c>
      <c r="C55" s="36">
        <v>0</v>
      </c>
      <c r="D55" s="36">
        <v>0</v>
      </c>
      <c r="E55" s="36">
        <v>0</v>
      </c>
      <c r="F55" s="36">
        <v>0</v>
      </c>
      <c r="G55" s="36">
        <v>0</v>
      </c>
      <c r="H55" s="36">
        <v>1</v>
      </c>
      <c r="I55" s="36">
        <v>0</v>
      </c>
      <c r="J55" s="36">
        <v>0</v>
      </c>
      <c r="K55" s="36">
        <v>1</v>
      </c>
      <c r="L55" s="36">
        <v>1</v>
      </c>
      <c r="M55" s="36">
        <v>1</v>
      </c>
      <c r="N55" s="44">
        <f>SUM(B55:M55)</f>
        <v>4</v>
      </c>
      <c r="P55" s="35" t="s">
        <v>114</v>
      </c>
      <c r="Q55" s="36">
        <v>0</v>
      </c>
      <c r="R55" s="36">
        <v>0</v>
      </c>
      <c r="S55" s="36">
        <v>1</v>
      </c>
      <c r="T55" s="36">
        <v>0</v>
      </c>
      <c r="U55" s="36">
        <v>1</v>
      </c>
      <c r="V55" s="36">
        <v>0</v>
      </c>
      <c r="W55" s="36">
        <v>2</v>
      </c>
      <c r="X55" s="36">
        <v>0</v>
      </c>
      <c r="Y55" s="36">
        <v>1</v>
      </c>
      <c r="Z55" s="36">
        <v>1</v>
      </c>
      <c r="AA55" s="36">
        <v>2</v>
      </c>
      <c r="AB55" s="36">
        <v>4</v>
      </c>
      <c r="AC55" s="44">
        <f>SUM(Q55:AB55)</f>
        <v>12</v>
      </c>
      <c r="AE55" s="35" t="s">
        <v>114</v>
      </c>
      <c r="AF55" s="36">
        <v>0</v>
      </c>
      <c r="AG55" s="36">
        <v>0</v>
      </c>
      <c r="AH55" s="36">
        <v>2</v>
      </c>
      <c r="AI55" s="36">
        <v>1</v>
      </c>
      <c r="AJ55" s="36">
        <v>0</v>
      </c>
      <c r="AK55" s="36">
        <v>0</v>
      </c>
      <c r="AL55" s="36">
        <v>1</v>
      </c>
      <c r="AM55" s="36">
        <v>1</v>
      </c>
      <c r="AN55" s="36">
        <v>1</v>
      </c>
      <c r="AO55" s="36">
        <v>1</v>
      </c>
      <c r="AP55" s="36">
        <v>3</v>
      </c>
      <c r="AQ55" s="36">
        <v>5</v>
      </c>
      <c r="AR55" s="44">
        <f>SUM(AF55:AQ55)</f>
        <v>15</v>
      </c>
    </row>
    <row r="56" spans="1:44" ht="28.8" x14ac:dyDescent="0.3">
      <c r="A56" s="35" t="s">
        <v>113</v>
      </c>
      <c r="B56" s="37">
        <v>0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420</v>
      </c>
      <c r="I56" s="37">
        <v>0</v>
      </c>
      <c r="J56" s="37">
        <v>0</v>
      </c>
      <c r="K56" s="37">
        <v>420</v>
      </c>
      <c r="L56" s="37">
        <v>900</v>
      </c>
      <c r="M56" s="37">
        <f>(2500)</f>
        <v>2500</v>
      </c>
      <c r="N56" s="42">
        <f>SUM(B56:M56)</f>
        <v>4240</v>
      </c>
      <c r="P56" s="35" t="s">
        <v>113</v>
      </c>
      <c r="Q56" s="37">
        <v>0</v>
      </c>
      <c r="R56" s="37">
        <v>0</v>
      </c>
      <c r="S56" s="37">
        <v>900</v>
      </c>
      <c r="T56" s="37">
        <v>0</v>
      </c>
      <c r="U56" s="37">
        <v>420</v>
      </c>
      <c r="V56" s="37">
        <v>0</v>
      </c>
      <c r="W56" s="37">
        <f>(420+900)/2</f>
        <v>660</v>
      </c>
      <c r="X56" s="37">
        <v>0</v>
      </c>
      <c r="Y56" s="37">
        <v>420</v>
      </c>
      <c r="Z56" s="37">
        <v>420</v>
      </c>
      <c r="AA56" s="37">
        <f>(900+250)/2</f>
        <v>575</v>
      </c>
      <c r="AB56" s="37">
        <f>(250+420+900+2500)/4</f>
        <v>1017.5</v>
      </c>
      <c r="AC56" s="42">
        <f>SUM(Q56:AB56)</f>
        <v>4412.5</v>
      </c>
      <c r="AE56" s="35" t="s">
        <v>113</v>
      </c>
      <c r="AF56" s="37">
        <v>0</v>
      </c>
      <c r="AG56" s="37">
        <v>0</v>
      </c>
      <c r="AH56" s="37">
        <f>(420+900)/2</f>
        <v>660</v>
      </c>
      <c r="AI56" s="37">
        <v>0</v>
      </c>
      <c r="AJ56" s="37">
        <v>0</v>
      </c>
      <c r="AK56" s="37">
        <v>0</v>
      </c>
      <c r="AL56" s="37">
        <v>420</v>
      </c>
      <c r="AM56" s="37">
        <v>900</v>
      </c>
      <c r="AN56" s="37">
        <v>420</v>
      </c>
      <c r="AO56" s="37">
        <v>420</v>
      </c>
      <c r="AP56" s="37">
        <f>(420+900+250)/3</f>
        <v>523.33333333333337</v>
      </c>
      <c r="AQ56" s="37">
        <f>(420+900+2500+500)/5</f>
        <v>864</v>
      </c>
      <c r="AR56" s="42">
        <f>SUM(AF56:AQ56)</f>
        <v>4207.3333333333339</v>
      </c>
    </row>
    <row r="57" spans="1:44" ht="28.8" x14ac:dyDescent="0.3">
      <c r="A57" s="35" t="s">
        <v>115</v>
      </c>
      <c r="B57" s="37">
        <f>B55*B56</f>
        <v>0</v>
      </c>
      <c r="C57" s="37">
        <f t="shared" ref="C57:M57" si="39">C55*C56</f>
        <v>0</v>
      </c>
      <c r="D57" s="37">
        <f t="shared" si="39"/>
        <v>0</v>
      </c>
      <c r="E57" s="37">
        <f t="shared" si="39"/>
        <v>0</v>
      </c>
      <c r="F57" s="37">
        <f t="shared" si="39"/>
        <v>0</v>
      </c>
      <c r="G57" s="37">
        <f t="shared" si="39"/>
        <v>0</v>
      </c>
      <c r="H57" s="37">
        <f t="shared" si="39"/>
        <v>420</v>
      </c>
      <c r="I57" s="37">
        <f t="shared" si="39"/>
        <v>0</v>
      </c>
      <c r="J57" s="37">
        <f t="shared" si="39"/>
        <v>0</v>
      </c>
      <c r="K57" s="37">
        <f t="shared" si="39"/>
        <v>420</v>
      </c>
      <c r="L57" s="37">
        <f>L55*L56</f>
        <v>900</v>
      </c>
      <c r="M57" s="37">
        <f t="shared" si="39"/>
        <v>2500</v>
      </c>
      <c r="N57" s="42">
        <f>SUM(B57:M57)</f>
        <v>4240</v>
      </c>
      <c r="P57" s="35" t="s">
        <v>115</v>
      </c>
      <c r="Q57" s="37">
        <f>Q55*Q56</f>
        <v>0</v>
      </c>
      <c r="R57" s="37">
        <f t="shared" ref="R57:AB57" si="40">R55*R56</f>
        <v>0</v>
      </c>
      <c r="S57" s="37">
        <f t="shared" si="40"/>
        <v>900</v>
      </c>
      <c r="T57" s="37">
        <f t="shared" si="40"/>
        <v>0</v>
      </c>
      <c r="U57" s="37">
        <f t="shared" si="40"/>
        <v>420</v>
      </c>
      <c r="V57" s="37">
        <f t="shared" si="40"/>
        <v>0</v>
      </c>
      <c r="W57" s="37">
        <f t="shared" si="40"/>
        <v>1320</v>
      </c>
      <c r="X57" s="37">
        <f t="shared" si="40"/>
        <v>0</v>
      </c>
      <c r="Y57" s="37">
        <f t="shared" si="40"/>
        <v>420</v>
      </c>
      <c r="Z57" s="37">
        <f t="shared" si="40"/>
        <v>420</v>
      </c>
      <c r="AA57" s="37">
        <f t="shared" si="40"/>
        <v>1150</v>
      </c>
      <c r="AB57" s="37">
        <f t="shared" si="40"/>
        <v>4070</v>
      </c>
      <c r="AC57" s="42">
        <f>SUM(Q57:AB57)</f>
        <v>8700</v>
      </c>
      <c r="AE57" s="35" t="s">
        <v>115</v>
      </c>
      <c r="AF57" s="37">
        <f>AF55*AF56</f>
        <v>0</v>
      </c>
      <c r="AG57" s="37">
        <f t="shared" ref="AG57" si="41">AG55*AG56</f>
        <v>0</v>
      </c>
      <c r="AH57" s="37">
        <f t="shared" ref="AH57" si="42">AH55*AH56</f>
        <v>1320</v>
      </c>
      <c r="AI57" s="37">
        <f t="shared" ref="AI57" si="43">AI55*AI56</f>
        <v>0</v>
      </c>
      <c r="AJ57" s="37">
        <f t="shared" ref="AJ57" si="44">AJ55*AJ56</f>
        <v>0</v>
      </c>
      <c r="AK57" s="37">
        <f t="shared" ref="AK57" si="45">AK55*AK56</f>
        <v>0</v>
      </c>
      <c r="AL57" s="37">
        <f t="shared" ref="AL57" si="46">AL55*AL56</f>
        <v>420</v>
      </c>
      <c r="AM57" s="37">
        <f t="shared" ref="AM57" si="47">AM55*AM56</f>
        <v>900</v>
      </c>
      <c r="AN57" s="37">
        <f t="shared" ref="AN57" si="48">AN55*AN56</f>
        <v>420</v>
      </c>
      <c r="AO57" s="37">
        <f t="shared" ref="AO57" si="49">AO55*AO56</f>
        <v>420</v>
      </c>
      <c r="AP57" s="37">
        <f t="shared" ref="AP57" si="50">AP55*AP56</f>
        <v>1570</v>
      </c>
      <c r="AQ57" s="37">
        <f t="shared" ref="AQ57" si="51">AQ55*AQ56</f>
        <v>4320</v>
      </c>
      <c r="AR57" s="42">
        <f>SUM(AF57:AQ57)</f>
        <v>9370</v>
      </c>
    </row>
    <row r="58" spans="1:44" x14ac:dyDescent="0.3">
      <c r="A58" s="32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P58" s="32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E58" s="32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</row>
    <row r="59" spans="1:44" x14ac:dyDescent="0.3">
      <c r="A59" t="s">
        <v>111</v>
      </c>
      <c r="E59" s="1" t="s">
        <v>16</v>
      </c>
      <c r="P59" t="s">
        <v>111</v>
      </c>
      <c r="T59" s="1" t="s">
        <v>17</v>
      </c>
      <c r="AE59" t="s">
        <v>111</v>
      </c>
      <c r="AI59" s="1" t="s">
        <v>18</v>
      </c>
    </row>
    <row r="60" spans="1:44" ht="28.8" x14ac:dyDescent="0.3">
      <c r="A60" s="38" t="s">
        <v>97</v>
      </c>
      <c r="B60" s="38" t="s">
        <v>99</v>
      </c>
      <c r="C60" s="38" t="s">
        <v>100</v>
      </c>
      <c r="D60" s="38" t="s">
        <v>101</v>
      </c>
      <c r="E60" s="38" t="s">
        <v>102</v>
      </c>
      <c r="F60" s="38" t="s">
        <v>98</v>
      </c>
      <c r="P60" s="38" t="s">
        <v>97</v>
      </c>
      <c r="Q60" s="38" t="s">
        <v>99</v>
      </c>
      <c r="R60" s="38" t="s">
        <v>100</v>
      </c>
      <c r="S60" s="38" t="s">
        <v>101</v>
      </c>
      <c r="T60" s="38" t="s">
        <v>102</v>
      </c>
      <c r="U60" s="38" t="s">
        <v>98</v>
      </c>
      <c r="AE60" s="38" t="s">
        <v>97</v>
      </c>
      <c r="AF60" s="38" t="s">
        <v>99</v>
      </c>
      <c r="AG60" s="38" t="s">
        <v>100</v>
      </c>
      <c r="AH60" s="38" t="s">
        <v>101</v>
      </c>
      <c r="AI60" s="38" t="s">
        <v>102</v>
      </c>
      <c r="AJ60" s="38" t="s">
        <v>98</v>
      </c>
    </row>
    <row r="61" spans="1:44" ht="28.8" x14ac:dyDescent="0.3">
      <c r="A61" s="35" t="s">
        <v>114</v>
      </c>
      <c r="B61" s="39">
        <v>2</v>
      </c>
      <c r="C61" s="39">
        <v>2</v>
      </c>
      <c r="D61" s="39">
        <v>3</v>
      </c>
      <c r="E61" s="39">
        <v>3</v>
      </c>
      <c r="F61" s="43">
        <f>SUM(B61:E61)</f>
        <v>10</v>
      </c>
      <c r="P61" s="35" t="s">
        <v>114</v>
      </c>
      <c r="Q61" s="39">
        <v>3</v>
      </c>
      <c r="R61" s="39">
        <v>1</v>
      </c>
      <c r="S61" s="39">
        <v>4</v>
      </c>
      <c r="T61" s="39">
        <v>3</v>
      </c>
      <c r="U61" s="43">
        <f>SUM(Q61:T61)</f>
        <v>11</v>
      </c>
      <c r="AE61" s="35" t="s">
        <v>114</v>
      </c>
      <c r="AF61" s="39">
        <v>3</v>
      </c>
      <c r="AG61" s="39">
        <v>1</v>
      </c>
      <c r="AH61" s="39">
        <v>4</v>
      </c>
      <c r="AI61" s="39">
        <v>6</v>
      </c>
      <c r="AJ61" s="43">
        <f>SUM(AF61:AI61)</f>
        <v>14</v>
      </c>
    </row>
    <row r="62" spans="1:44" ht="28.8" x14ac:dyDescent="0.3">
      <c r="A62" s="35" t="s">
        <v>113</v>
      </c>
      <c r="B62" s="37">
        <f>(250+420)/2</f>
        <v>335</v>
      </c>
      <c r="C62" s="37">
        <f>(420+900)/2</f>
        <v>660</v>
      </c>
      <c r="D62" s="37">
        <f>(900+420+250)/3</f>
        <v>523.33333333333337</v>
      </c>
      <c r="E62" s="37">
        <f>(420+2500+250)/3</f>
        <v>1056.6666666666667</v>
      </c>
      <c r="F62" s="42">
        <f>SUM(B62:E62)</f>
        <v>2575</v>
      </c>
      <c r="P62" s="35" t="s">
        <v>113</v>
      </c>
      <c r="Q62" s="37">
        <f>(900+250+2500)/3</f>
        <v>1216.6666666666667</v>
      </c>
      <c r="R62" s="37">
        <v>900</v>
      </c>
      <c r="S62" s="37">
        <f>(420+900+2500+250)/4</f>
        <v>1017.5</v>
      </c>
      <c r="T62" s="37">
        <f>(420+420+250)/3</f>
        <v>363.33333333333331</v>
      </c>
      <c r="U62" s="42">
        <f>SUM(Q62:T62)</f>
        <v>3497.5000000000005</v>
      </c>
      <c r="AE62" s="35" t="s">
        <v>113</v>
      </c>
      <c r="AF62" s="37">
        <f>(420+250+2500)/3</f>
        <v>1056.6666666666667</v>
      </c>
      <c r="AG62" s="37">
        <f>900</f>
        <v>900</v>
      </c>
      <c r="AH62" s="37">
        <f>(420+900+2500+250)/4</f>
        <v>1017.5</v>
      </c>
      <c r="AI62" s="37">
        <f>(420+420+420+900+2500+500)/6</f>
        <v>860</v>
      </c>
      <c r="AJ62" s="42">
        <f>SUM(AF62:AI62)</f>
        <v>3834.166666666667</v>
      </c>
    </row>
    <row r="63" spans="1:44" ht="28.8" x14ac:dyDescent="0.3">
      <c r="A63" s="35" t="s">
        <v>115</v>
      </c>
      <c r="B63" s="37">
        <f>B61*B62</f>
        <v>670</v>
      </c>
      <c r="C63" s="37">
        <f t="shared" ref="C63:E63" si="52">C61*C62</f>
        <v>1320</v>
      </c>
      <c r="D63" s="37">
        <f t="shared" si="52"/>
        <v>1570</v>
      </c>
      <c r="E63" s="37">
        <f t="shared" si="52"/>
        <v>3170</v>
      </c>
      <c r="F63" s="42">
        <f>SUM(B63:E63)</f>
        <v>6730</v>
      </c>
      <c r="P63" s="35" t="s">
        <v>115</v>
      </c>
      <c r="Q63" s="37">
        <f>Q61*Q62</f>
        <v>3650</v>
      </c>
      <c r="R63" s="37">
        <f t="shared" ref="R63" si="53">R61*R62</f>
        <v>900</v>
      </c>
      <c r="S63" s="37">
        <f t="shared" ref="S63" si="54">S61*S62</f>
        <v>4070</v>
      </c>
      <c r="T63" s="37">
        <f t="shared" ref="T63" si="55">T61*T62</f>
        <v>1090</v>
      </c>
      <c r="U63" s="42">
        <f>SUM(Q63:T63)</f>
        <v>9710</v>
      </c>
      <c r="AE63" s="35" t="s">
        <v>115</v>
      </c>
      <c r="AF63" s="37">
        <f>AF61*AF62</f>
        <v>3170</v>
      </c>
      <c r="AG63" s="37">
        <f t="shared" ref="AG63" si="56">AG61*AG62</f>
        <v>900</v>
      </c>
      <c r="AH63" s="37">
        <f t="shared" ref="AH63" si="57">AH61*AH62</f>
        <v>4070</v>
      </c>
      <c r="AI63" s="37">
        <f t="shared" ref="AI63" si="58">AI61*AI62</f>
        <v>5160</v>
      </c>
      <c r="AJ63" s="42">
        <f>SUM(AF63:AI63)</f>
        <v>13300</v>
      </c>
    </row>
    <row r="65" spans="1:36" x14ac:dyDescent="0.3">
      <c r="A65" t="s">
        <v>112</v>
      </c>
      <c r="E65" s="1" t="s">
        <v>16</v>
      </c>
      <c r="P65" t="s">
        <v>112</v>
      </c>
      <c r="T65" s="1" t="s">
        <v>17</v>
      </c>
      <c r="AE65" t="s">
        <v>112</v>
      </c>
      <c r="AI65" s="1" t="s">
        <v>18</v>
      </c>
    </row>
    <row r="66" spans="1:36" ht="28.8" x14ac:dyDescent="0.3">
      <c r="A66" s="38" t="s">
        <v>97</v>
      </c>
      <c r="B66" s="38" t="s">
        <v>99</v>
      </c>
      <c r="C66" s="38" t="s">
        <v>100</v>
      </c>
      <c r="D66" s="38" t="s">
        <v>101</v>
      </c>
      <c r="E66" s="38" t="s">
        <v>102</v>
      </c>
      <c r="F66" s="38" t="s">
        <v>98</v>
      </c>
      <c r="P66" s="38" t="s">
        <v>97</v>
      </c>
      <c r="Q66" s="38" t="s">
        <v>99</v>
      </c>
      <c r="R66" s="38" t="s">
        <v>100</v>
      </c>
      <c r="S66" s="38" t="s">
        <v>101</v>
      </c>
      <c r="T66" s="38" t="s">
        <v>102</v>
      </c>
      <c r="U66" s="38" t="s">
        <v>98</v>
      </c>
      <c r="AE66" s="38" t="s">
        <v>97</v>
      </c>
      <c r="AF66" s="38" t="s">
        <v>99</v>
      </c>
      <c r="AG66" s="38" t="s">
        <v>100</v>
      </c>
      <c r="AH66" s="38" t="s">
        <v>101</v>
      </c>
      <c r="AI66" s="38" t="s">
        <v>102</v>
      </c>
      <c r="AJ66" s="38" t="s">
        <v>98</v>
      </c>
    </row>
    <row r="67" spans="1:36" ht="28.8" x14ac:dyDescent="0.3">
      <c r="A67" s="35" t="s">
        <v>114</v>
      </c>
      <c r="B67" s="39">
        <v>2</v>
      </c>
      <c r="C67" s="39">
        <v>2</v>
      </c>
      <c r="D67" s="39">
        <v>3</v>
      </c>
      <c r="E67" s="39">
        <v>3</v>
      </c>
      <c r="F67" s="43">
        <f>SUM(B67:E67)</f>
        <v>10</v>
      </c>
      <c r="P67" s="35" t="s">
        <v>114</v>
      </c>
      <c r="Q67" s="39">
        <v>4</v>
      </c>
      <c r="R67" s="39">
        <v>2</v>
      </c>
      <c r="S67" s="39">
        <v>5</v>
      </c>
      <c r="T67" s="39">
        <v>6</v>
      </c>
      <c r="U67" s="43">
        <f>SUM(Q67:T67)</f>
        <v>17</v>
      </c>
      <c r="AE67" s="35" t="s">
        <v>114</v>
      </c>
      <c r="AF67" s="39">
        <v>4</v>
      </c>
      <c r="AG67" s="39">
        <v>3</v>
      </c>
      <c r="AH67" s="39">
        <v>5</v>
      </c>
      <c r="AI67" s="39">
        <v>9</v>
      </c>
      <c r="AJ67" s="43">
        <f>SUM(AF67:AI67)</f>
        <v>21</v>
      </c>
    </row>
    <row r="68" spans="1:36" ht="28.8" x14ac:dyDescent="0.3">
      <c r="A68" s="35" t="s">
        <v>113</v>
      </c>
      <c r="B68" s="37">
        <v>250</v>
      </c>
      <c r="C68" s="37">
        <f>(420+900)/2</f>
        <v>660</v>
      </c>
      <c r="D68" s="37">
        <f>(900+250+420)/3</f>
        <v>523.33333333333337</v>
      </c>
      <c r="E68" s="37">
        <f>(420+250+2500)/2</f>
        <v>1585</v>
      </c>
      <c r="F68" s="42">
        <f>SUM(B68:E68)</f>
        <v>3018.3333333333335</v>
      </c>
      <c r="P68" s="35" t="s">
        <v>113</v>
      </c>
      <c r="Q68" s="37">
        <f>(420+500+2500)/4</f>
        <v>855</v>
      </c>
      <c r="R68" s="37">
        <f>(420+900)/2</f>
        <v>660</v>
      </c>
      <c r="S68" s="37">
        <f>(420+420+250+900+250)/5</f>
        <v>448</v>
      </c>
      <c r="T68" s="37">
        <f>(420+420+2500+250+900+900)/5</f>
        <v>1078</v>
      </c>
      <c r="U68" s="42">
        <f>SUM(Q68:T68)</f>
        <v>3041</v>
      </c>
      <c r="AE68" s="35" t="s">
        <v>113</v>
      </c>
      <c r="AF68" s="37">
        <f>(900+250+250+2500)/4</f>
        <v>975</v>
      </c>
      <c r="AG68" s="37">
        <f>(420+900+2500)/3</f>
        <v>1273.3333333333333</v>
      </c>
      <c r="AH68" s="37">
        <f>(420+420+1800+250)/5</f>
        <v>578</v>
      </c>
      <c r="AI68" s="37">
        <f>(420+420+420+1800+2500+750)/9</f>
        <v>701.11111111111109</v>
      </c>
      <c r="AJ68" s="42">
        <f>SUM(AF68:AI68)</f>
        <v>3527.4444444444443</v>
      </c>
    </row>
    <row r="69" spans="1:36" ht="28.8" x14ac:dyDescent="0.3">
      <c r="A69" s="35" t="s">
        <v>115</v>
      </c>
      <c r="B69" s="37">
        <f>B67*B68</f>
        <v>500</v>
      </c>
      <c r="C69" s="37">
        <f t="shared" ref="C69" si="59">C67*C68</f>
        <v>1320</v>
      </c>
      <c r="D69" s="37">
        <f t="shared" ref="D69" si="60">D67*D68</f>
        <v>1570</v>
      </c>
      <c r="E69" s="37">
        <f t="shared" ref="E69" si="61">E67*E68</f>
        <v>4755</v>
      </c>
      <c r="F69" s="42">
        <f>SUM(B69:E69)</f>
        <v>8145</v>
      </c>
      <c r="P69" s="35" t="s">
        <v>115</v>
      </c>
      <c r="Q69" s="37">
        <f>Q67*Q68</f>
        <v>3420</v>
      </c>
      <c r="R69" s="37">
        <f t="shared" ref="R69" si="62">R67*R68</f>
        <v>1320</v>
      </c>
      <c r="S69" s="37">
        <f t="shared" ref="S69" si="63">S67*S68</f>
        <v>2240</v>
      </c>
      <c r="T69" s="37">
        <f t="shared" ref="T69" si="64">T67*T68</f>
        <v>6468</v>
      </c>
      <c r="U69" s="42">
        <f>SUM(Q69:T69)</f>
        <v>13448</v>
      </c>
      <c r="AE69" s="35" t="s">
        <v>115</v>
      </c>
      <c r="AF69" s="37">
        <f>AF67*AF68</f>
        <v>3900</v>
      </c>
      <c r="AG69" s="37">
        <f t="shared" ref="AG69" si="65">AG67*AG68</f>
        <v>3820</v>
      </c>
      <c r="AH69" s="37">
        <f t="shared" ref="AH69" si="66">AH67*AH68</f>
        <v>2890</v>
      </c>
      <c r="AI69" s="37">
        <f t="shared" ref="AI69" si="67">AI67*AI68</f>
        <v>6310</v>
      </c>
      <c r="AJ69" s="42">
        <f>SUM(AF69:AI69)</f>
        <v>16920</v>
      </c>
    </row>
  </sheetData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0DDE8-0E05-4F5A-9648-FDF238F38207}">
  <dimension ref="A1:W108"/>
  <sheetViews>
    <sheetView zoomScale="70" zoomScaleNormal="70" workbookViewId="0">
      <selection activeCell="U80" sqref="U80"/>
    </sheetView>
  </sheetViews>
  <sheetFormatPr defaultRowHeight="14.4" x14ac:dyDescent="0.3"/>
  <cols>
    <col min="2" max="2" width="34.6640625" customWidth="1"/>
    <col min="3" max="15" width="12.77734375" customWidth="1"/>
    <col min="18" max="18" width="36" customWidth="1"/>
    <col min="19" max="23" width="12.77734375" customWidth="1"/>
  </cols>
  <sheetData>
    <row r="1" spans="1:23" x14ac:dyDescent="0.3">
      <c r="A1" s="1" t="s">
        <v>129</v>
      </c>
      <c r="D1" s="45"/>
      <c r="M1" s="1" t="s">
        <v>17</v>
      </c>
    </row>
    <row r="2" spans="1:23" x14ac:dyDescent="0.3">
      <c r="A2" s="46" t="s">
        <v>0</v>
      </c>
      <c r="B2" s="46" t="s">
        <v>130</v>
      </c>
      <c r="C2" s="47" t="s">
        <v>131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9"/>
      <c r="O2" s="50" t="s">
        <v>98</v>
      </c>
      <c r="Q2" t="s">
        <v>167</v>
      </c>
      <c r="T2" s="45"/>
    </row>
    <row r="3" spans="1:23" x14ac:dyDescent="0.3">
      <c r="A3" s="46"/>
      <c r="B3" s="46"/>
      <c r="C3" s="51" t="s">
        <v>132</v>
      </c>
      <c r="D3" s="51" t="s">
        <v>133</v>
      </c>
      <c r="E3" s="51" t="s">
        <v>134</v>
      </c>
      <c r="F3" s="51" t="s">
        <v>135</v>
      </c>
      <c r="G3" s="51" t="s">
        <v>136</v>
      </c>
      <c r="H3" s="51" t="s">
        <v>137</v>
      </c>
      <c r="I3" s="51" t="s">
        <v>138</v>
      </c>
      <c r="J3" s="51" t="s">
        <v>139</v>
      </c>
      <c r="K3" s="51" t="s">
        <v>140</v>
      </c>
      <c r="L3" s="51" t="s">
        <v>141</v>
      </c>
      <c r="M3" s="51" t="s">
        <v>142</v>
      </c>
      <c r="N3" s="51" t="s">
        <v>143</v>
      </c>
      <c r="O3" s="52"/>
      <c r="Q3" s="46" t="s">
        <v>0</v>
      </c>
      <c r="R3" s="46" t="s">
        <v>130</v>
      </c>
      <c r="S3" s="47" t="s">
        <v>168</v>
      </c>
      <c r="T3" s="48"/>
      <c r="U3" s="48"/>
      <c r="V3" s="49"/>
      <c r="W3" s="50" t="s">
        <v>98</v>
      </c>
    </row>
    <row r="4" spans="1:23" x14ac:dyDescent="0.3">
      <c r="A4" s="53">
        <v>1</v>
      </c>
      <c r="B4" s="54" t="s">
        <v>144</v>
      </c>
      <c r="C4" s="55">
        <f t="shared" ref="C4:N4" si="0">SUM(C5:C6)</f>
        <v>300</v>
      </c>
      <c r="D4" s="55">
        <f t="shared" si="0"/>
        <v>0</v>
      </c>
      <c r="E4" s="55">
        <f t="shared" si="0"/>
        <v>0</v>
      </c>
      <c r="F4" s="55">
        <f t="shared" si="0"/>
        <v>0</v>
      </c>
      <c r="G4" s="55">
        <f t="shared" si="0"/>
        <v>0</v>
      </c>
      <c r="H4" s="55">
        <f t="shared" si="0"/>
        <v>0</v>
      </c>
      <c r="I4" s="55">
        <f t="shared" si="0"/>
        <v>2000</v>
      </c>
      <c r="J4" s="55">
        <f t="shared" si="0"/>
        <v>0</v>
      </c>
      <c r="K4" s="55">
        <f t="shared" si="0"/>
        <v>0</v>
      </c>
      <c r="L4" s="55">
        <f t="shared" si="0"/>
        <v>0</v>
      </c>
      <c r="M4" s="55">
        <f t="shared" si="0"/>
        <v>0</v>
      </c>
      <c r="N4" s="55">
        <f t="shared" si="0"/>
        <v>0</v>
      </c>
      <c r="O4" s="55">
        <f>SUM(C4:N4)</f>
        <v>2300</v>
      </c>
      <c r="Q4" s="46"/>
      <c r="R4" s="46"/>
      <c r="S4" s="51" t="s">
        <v>99</v>
      </c>
      <c r="T4" s="51" t="s">
        <v>100</v>
      </c>
      <c r="U4" s="51" t="s">
        <v>101</v>
      </c>
      <c r="V4" s="51" t="s">
        <v>102</v>
      </c>
      <c r="W4" s="52"/>
    </row>
    <row r="5" spans="1:23" x14ac:dyDescent="0.3">
      <c r="A5" s="56" t="s">
        <v>145</v>
      </c>
      <c r="B5" s="57" t="s">
        <v>33</v>
      </c>
      <c r="C5" s="58">
        <v>0</v>
      </c>
      <c r="D5" s="58">
        <v>0</v>
      </c>
      <c r="E5" s="58">
        <v>0</v>
      </c>
      <c r="F5" s="58">
        <v>0</v>
      </c>
      <c r="G5" s="58">
        <v>0</v>
      </c>
      <c r="H5" s="58">
        <v>0</v>
      </c>
      <c r="I5" s="58">
        <v>2000</v>
      </c>
      <c r="J5" s="58">
        <v>0</v>
      </c>
      <c r="K5" s="58">
        <v>0</v>
      </c>
      <c r="L5" s="58">
        <v>0</v>
      </c>
      <c r="M5" s="58">
        <v>0</v>
      </c>
      <c r="N5" s="58">
        <v>0</v>
      </c>
      <c r="O5" s="62">
        <f>SUM(C5:M5)</f>
        <v>2000</v>
      </c>
      <c r="Q5" s="53">
        <v>1</v>
      </c>
      <c r="R5" s="54" t="s">
        <v>144</v>
      </c>
      <c r="S5" s="55">
        <f>SUM(S6:S6)</f>
        <v>900</v>
      </c>
      <c r="T5" s="55">
        <v>420</v>
      </c>
      <c r="U5" s="55">
        <f>SUM(U6:U6)</f>
        <v>1740</v>
      </c>
      <c r="V5" s="55">
        <f>SUM(V6:V6)</f>
        <v>5640</v>
      </c>
      <c r="W5" s="55">
        <f>SUM(S5:V5)</f>
        <v>8700</v>
      </c>
    </row>
    <row r="6" spans="1:23" x14ac:dyDescent="0.3">
      <c r="A6" s="56" t="s">
        <v>146</v>
      </c>
      <c r="B6" s="57" t="s">
        <v>15</v>
      </c>
      <c r="C6" s="58">
        <f>300</f>
        <v>300</v>
      </c>
      <c r="D6" s="58">
        <v>0</v>
      </c>
      <c r="E6" s="58">
        <v>0</v>
      </c>
      <c r="F6" s="58">
        <v>0</v>
      </c>
      <c r="G6" s="58">
        <v>0</v>
      </c>
      <c r="H6" s="58">
        <v>0</v>
      </c>
      <c r="I6" s="58">
        <v>0</v>
      </c>
      <c r="J6" s="58">
        <v>0</v>
      </c>
      <c r="K6" s="58">
        <v>0</v>
      </c>
      <c r="L6" s="58">
        <v>0</v>
      </c>
      <c r="M6" s="58">
        <v>0</v>
      </c>
      <c r="N6" s="58">
        <v>0</v>
      </c>
      <c r="O6" s="62">
        <f>SUM(C6:M6)</f>
        <v>300</v>
      </c>
      <c r="Q6" s="56" t="s">
        <v>145</v>
      </c>
      <c r="R6" s="57" t="s">
        <v>169</v>
      </c>
      <c r="S6" s="58">
        <v>900</v>
      </c>
      <c r="T6" s="58">
        <v>420</v>
      </c>
      <c r="U6" s="58">
        <f>1320+420</f>
        <v>1740</v>
      </c>
      <c r="V6" s="58">
        <f>1150+4070+420</f>
        <v>5640</v>
      </c>
      <c r="W6" s="55">
        <f>SUM(S6:V6)</f>
        <v>8700</v>
      </c>
    </row>
    <row r="7" spans="1:23" x14ac:dyDescent="0.3">
      <c r="A7" s="53">
        <v>2</v>
      </c>
      <c r="B7" s="54" t="s">
        <v>147</v>
      </c>
      <c r="C7" s="55">
        <f>C8</f>
        <v>516</v>
      </c>
      <c r="D7" s="55">
        <f t="shared" ref="D7:N7" si="1">D8</f>
        <v>127.29166666666667</v>
      </c>
      <c r="E7" s="55">
        <f t="shared" si="1"/>
        <v>127.29166666666667</v>
      </c>
      <c r="F7" s="55">
        <f t="shared" si="1"/>
        <v>127.29166666666667</v>
      </c>
      <c r="G7" s="55">
        <f t="shared" si="1"/>
        <v>127.29166666666667</v>
      </c>
      <c r="H7" s="55">
        <f t="shared" si="1"/>
        <v>127.29166666666667</v>
      </c>
      <c r="I7" s="55">
        <f t="shared" si="1"/>
        <v>127.29166666666667</v>
      </c>
      <c r="J7" s="55">
        <f t="shared" si="1"/>
        <v>127.29166666666667</v>
      </c>
      <c r="K7" s="55">
        <f t="shared" si="1"/>
        <v>127.29166666666667</v>
      </c>
      <c r="L7" s="55">
        <f t="shared" si="1"/>
        <v>127.29166666666667</v>
      </c>
      <c r="M7" s="55">
        <f t="shared" si="1"/>
        <v>127.29166666666667</v>
      </c>
      <c r="N7" s="55">
        <f t="shared" si="1"/>
        <v>127.29166666666667</v>
      </c>
      <c r="O7" s="55">
        <f t="shared" ref="O7:O18" si="2">SUM(C7:N7)</f>
        <v>1916.2083333333337</v>
      </c>
      <c r="Q7" s="53">
        <v>2</v>
      </c>
      <c r="R7" s="54" t="s">
        <v>147</v>
      </c>
      <c r="S7" s="55">
        <f>S8+S22</f>
        <v>2147.625</v>
      </c>
      <c r="T7" s="55">
        <f>T8+T22</f>
        <v>1153.875</v>
      </c>
      <c r="U7" s="55">
        <f>U8+U22</f>
        <v>1153.875</v>
      </c>
      <c r="V7" s="55">
        <f>V8+V22</f>
        <v>1153.875</v>
      </c>
      <c r="W7" s="55">
        <f>SUM(S7:V7)</f>
        <v>5609.25</v>
      </c>
    </row>
    <row r="8" spans="1:23" x14ac:dyDescent="0.3">
      <c r="A8" s="59" t="s">
        <v>148</v>
      </c>
      <c r="B8" s="54" t="s">
        <v>149</v>
      </c>
      <c r="C8" s="60">
        <f>SUM(C9:C18)</f>
        <v>516</v>
      </c>
      <c r="D8" s="60">
        <f>SUM(D9:D18)</f>
        <v>127.29166666666667</v>
      </c>
      <c r="E8" s="60">
        <f>SUM(E9:E18)</f>
        <v>127.29166666666667</v>
      </c>
      <c r="F8" s="60">
        <f>SUM(F9:F18)</f>
        <v>127.29166666666667</v>
      </c>
      <c r="G8" s="60">
        <f>SUM(G9:G18)</f>
        <v>127.29166666666667</v>
      </c>
      <c r="H8" s="60">
        <f>SUM(H9:H18)</f>
        <v>127.29166666666667</v>
      </c>
      <c r="I8" s="60">
        <f>SUM(I9:I18)</f>
        <v>127.29166666666667</v>
      </c>
      <c r="J8" s="60">
        <f>SUM(J9:J18)</f>
        <v>127.29166666666667</v>
      </c>
      <c r="K8" s="60">
        <f>SUM(K9:K18)</f>
        <v>127.29166666666667</v>
      </c>
      <c r="L8" s="60">
        <f>SUM(L9:L18)</f>
        <v>127.29166666666667</v>
      </c>
      <c r="M8" s="60">
        <f>SUM(M9:M18)</f>
        <v>127.29166666666667</v>
      </c>
      <c r="N8" s="60">
        <f>SUM(N9:N18)</f>
        <v>127.29166666666667</v>
      </c>
      <c r="O8" s="62">
        <f t="shared" si="2"/>
        <v>1916.2083333333337</v>
      </c>
      <c r="Q8" s="59" t="s">
        <v>148</v>
      </c>
      <c r="R8" s="54" t="s">
        <v>170</v>
      </c>
      <c r="S8" s="60">
        <f>SUM(S9:S21)</f>
        <v>978.875</v>
      </c>
      <c r="T8" s="60">
        <f>SUM(T9:T21)</f>
        <v>885.125</v>
      </c>
      <c r="U8" s="60">
        <f>SUM(U9:U21)</f>
        <v>885.125</v>
      </c>
      <c r="V8" s="60">
        <f>SUM(V9:V21)</f>
        <v>885.125</v>
      </c>
      <c r="W8" s="55">
        <f>SUM(S8:V8)</f>
        <v>3634.25</v>
      </c>
    </row>
    <row r="9" spans="1:23" ht="28.8" x14ac:dyDescent="0.3">
      <c r="A9" s="61" t="s">
        <v>150</v>
      </c>
      <c r="B9" s="5" t="s">
        <v>25</v>
      </c>
      <c r="C9" s="27">
        <v>15</v>
      </c>
      <c r="D9" s="27">
        <v>0</v>
      </c>
      <c r="E9" s="27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7">
        <v>0</v>
      </c>
      <c r="N9" s="27">
        <v>0</v>
      </c>
      <c r="O9" s="62">
        <f t="shared" si="2"/>
        <v>15</v>
      </c>
      <c r="Q9" s="61" t="s">
        <v>150</v>
      </c>
      <c r="R9" s="5" t="s">
        <v>27</v>
      </c>
      <c r="S9" s="58">
        <v>210</v>
      </c>
      <c r="T9" s="58">
        <v>210</v>
      </c>
      <c r="U9" s="58">
        <v>210</v>
      </c>
      <c r="V9" s="58">
        <v>210</v>
      </c>
      <c r="W9" s="55">
        <f t="shared" ref="W9:W21" si="3">SUM(S9:V9)</f>
        <v>840</v>
      </c>
    </row>
    <row r="10" spans="1:23" ht="28.8" x14ac:dyDescent="0.3">
      <c r="A10" s="61" t="s">
        <v>151</v>
      </c>
      <c r="B10" s="5" t="s">
        <v>26</v>
      </c>
      <c r="C10" s="27">
        <v>25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62">
        <f t="shared" si="2"/>
        <v>25</v>
      </c>
      <c r="Q10" s="61" t="s">
        <v>151</v>
      </c>
      <c r="R10" s="8" t="s">
        <v>22</v>
      </c>
      <c r="S10" s="58">
        <v>75</v>
      </c>
      <c r="T10" s="58">
        <v>75</v>
      </c>
      <c r="U10" s="58">
        <v>75</v>
      </c>
      <c r="V10" s="58">
        <v>75</v>
      </c>
      <c r="W10" s="55">
        <f t="shared" si="3"/>
        <v>300</v>
      </c>
    </row>
    <row r="11" spans="1:23" ht="28.8" x14ac:dyDescent="0.3">
      <c r="A11" s="61" t="s">
        <v>152</v>
      </c>
      <c r="B11" s="5" t="s">
        <v>21</v>
      </c>
      <c r="C11" s="27">
        <v>6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62">
        <f t="shared" si="2"/>
        <v>6</v>
      </c>
      <c r="Q11" s="61" t="s">
        <v>152</v>
      </c>
      <c r="R11" s="5" t="s">
        <v>35</v>
      </c>
      <c r="S11" s="58">
        <v>7.5</v>
      </c>
      <c r="T11" s="58">
        <v>7.5</v>
      </c>
      <c r="U11" s="58">
        <v>7.5</v>
      </c>
      <c r="V11" s="58">
        <v>7.5</v>
      </c>
      <c r="W11" s="55">
        <f t="shared" si="3"/>
        <v>30</v>
      </c>
    </row>
    <row r="12" spans="1:23" x14ac:dyDescent="0.3">
      <c r="A12" s="61" t="s">
        <v>153</v>
      </c>
      <c r="B12" s="5" t="s">
        <v>28</v>
      </c>
      <c r="C12" s="27">
        <v>15</v>
      </c>
      <c r="D12" s="27">
        <v>15</v>
      </c>
      <c r="E12" s="27">
        <v>15</v>
      </c>
      <c r="F12" s="27">
        <v>15</v>
      </c>
      <c r="G12" s="27">
        <v>15</v>
      </c>
      <c r="H12" s="27">
        <v>15</v>
      </c>
      <c r="I12" s="27">
        <v>15</v>
      </c>
      <c r="J12" s="27">
        <v>15</v>
      </c>
      <c r="K12" s="27">
        <v>15</v>
      </c>
      <c r="L12" s="27">
        <v>15</v>
      </c>
      <c r="M12" s="27">
        <v>15</v>
      </c>
      <c r="N12" s="27">
        <v>15</v>
      </c>
      <c r="O12" s="62">
        <f t="shared" si="2"/>
        <v>180</v>
      </c>
      <c r="Q12" s="61" t="s">
        <v>153</v>
      </c>
      <c r="R12" s="5" t="s">
        <v>28</v>
      </c>
      <c r="S12" s="58">
        <v>45</v>
      </c>
      <c r="T12" s="58">
        <v>45</v>
      </c>
      <c r="U12" s="58">
        <v>45</v>
      </c>
      <c r="V12" s="58">
        <v>45</v>
      </c>
      <c r="W12" s="55">
        <f t="shared" si="3"/>
        <v>180</v>
      </c>
    </row>
    <row r="13" spans="1:23" ht="28.8" x14ac:dyDescent="0.3">
      <c r="A13" s="61" t="s">
        <v>154</v>
      </c>
      <c r="B13" s="5" t="s">
        <v>27</v>
      </c>
      <c r="C13" s="27">
        <v>60</v>
      </c>
      <c r="D13" s="27">
        <v>60</v>
      </c>
      <c r="E13" s="27">
        <v>60</v>
      </c>
      <c r="F13" s="27">
        <v>60</v>
      </c>
      <c r="G13" s="27">
        <v>60</v>
      </c>
      <c r="H13" s="27">
        <v>60</v>
      </c>
      <c r="I13" s="27">
        <v>60</v>
      </c>
      <c r="J13" s="27">
        <v>60</v>
      </c>
      <c r="K13" s="27">
        <v>60</v>
      </c>
      <c r="L13" s="27">
        <v>60</v>
      </c>
      <c r="M13" s="27">
        <v>60</v>
      </c>
      <c r="N13" s="27">
        <v>60</v>
      </c>
      <c r="O13" s="62">
        <f t="shared" si="2"/>
        <v>720</v>
      </c>
      <c r="Q13" s="61" t="s">
        <v>154</v>
      </c>
      <c r="R13" s="5" t="s">
        <v>34</v>
      </c>
      <c r="S13" s="58">
        <v>100</v>
      </c>
      <c r="T13" s="58">
        <v>0</v>
      </c>
      <c r="U13" s="58">
        <v>0</v>
      </c>
      <c r="V13" s="58">
        <v>0</v>
      </c>
      <c r="W13" s="55">
        <f t="shared" si="3"/>
        <v>100</v>
      </c>
    </row>
    <row r="14" spans="1:23" ht="28.8" x14ac:dyDescent="0.3">
      <c r="A14" s="61" t="s">
        <v>155</v>
      </c>
      <c r="B14" s="8" t="s">
        <v>22</v>
      </c>
      <c r="C14" s="27">
        <v>20</v>
      </c>
      <c r="D14" s="27">
        <v>20</v>
      </c>
      <c r="E14" s="27">
        <v>20</v>
      </c>
      <c r="F14" s="27">
        <v>20</v>
      </c>
      <c r="G14" s="27">
        <v>20</v>
      </c>
      <c r="H14" s="27">
        <v>20</v>
      </c>
      <c r="I14" s="27">
        <v>20</v>
      </c>
      <c r="J14" s="27">
        <v>20</v>
      </c>
      <c r="K14" s="27">
        <v>20</v>
      </c>
      <c r="L14" s="27">
        <v>20</v>
      </c>
      <c r="M14" s="27">
        <v>20</v>
      </c>
      <c r="N14" s="27">
        <v>20</v>
      </c>
      <c r="O14" s="62">
        <f t="shared" si="2"/>
        <v>240</v>
      </c>
      <c r="Q14" s="61" t="s">
        <v>155</v>
      </c>
      <c r="R14" s="5" t="s">
        <v>29</v>
      </c>
      <c r="S14" s="58">
        <v>21.875</v>
      </c>
      <c r="T14" s="58">
        <v>28.125</v>
      </c>
      <c r="U14" s="58">
        <v>28.125</v>
      </c>
      <c r="V14" s="58">
        <v>28.125</v>
      </c>
      <c r="W14" s="55">
        <f t="shared" si="3"/>
        <v>106.25</v>
      </c>
    </row>
    <row r="15" spans="1:23" ht="28.8" x14ac:dyDescent="0.3">
      <c r="A15" s="61" t="s">
        <v>156</v>
      </c>
      <c r="B15" s="5" t="s">
        <v>23</v>
      </c>
      <c r="C15" s="27">
        <v>350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62">
        <f t="shared" si="2"/>
        <v>350</v>
      </c>
      <c r="Q15" s="61" t="s">
        <v>156</v>
      </c>
      <c r="R15" s="5" t="s">
        <v>36</v>
      </c>
      <c r="S15" s="58">
        <v>112.5</v>
      </c>
      <c r="T15" s="58">
        <v>112.5</v>
      </c>
      <c r="U15" s="58">
        <v>112.5</v>
      </c>
      <c r="V15" s="58">
        <v>112.5</v>
      </c>
      <c r="W15" s="55">
        <f t="shared" si="3"/>
        <v>450</v>
      </c>
    </row>
    <row r="16" spans="1:23" ht="28.8" x14ac:dyDescent="0.3">
      <c r="A16" s="61" t="s">
        <v>157</v>
      </c>
      <c r="B16" s="5" t="s">
        <v>29</v>
      </c>
      <c r="C16" s="27">
        <v>0</v>
      </c>
      <c r="D16" s="27">
        <f>C15*1/4*1/12</f>
        <v>7.291666666666667</v>
      </c>
      <c r="E16" s="27">
        <f>D16</f>
        <v>7.291666666666667</v>
      </c>
      <c r="F16" s="27">
        <f t="shared" ref="F16:N16" si="4">E16</f>
        <v>7.291666666666667</v>
      </c>
      <c r="G16" s="27">
        <f t="shared" si="4"/>
        <v>7.291666666666667</v>
      </c>
      <c r="H16" s="27">
        <f t="shared" si="4"/>
        <v>7.291666666666667</v>
      </c>
      <c r="I16" s="27">
        <f t="shared" si="4"/>
        <v>7.291666666666667</v>
      </c>
      <c r="J16" s="27">
        <f t="shared" si="4"/>
        <v>7.291666666666667</v>
      </c>
      <c r="K16" s="27">
        <f t="shared" si="4"/>
        <v>7.291666666666667</v>
      </c>
      <c r="L16" s="27">
        <f t="shared" si="4"/>
        <v>7.291666666666667</v>
      </c>
      <c r="M16" s="27">
        <f t="shared" si="4"/>
        <v>7.291666666666667</v>
      </c>
      <c r="N16" s="27">
        <f t="shared" si="4"/>
        <v>7.291666666666667</v>
      </c>
      <c r="O16" s="62">
        <f t="shared" si="2"/>
        <v>80.208333333333343</v>
      </c>
      <c r="Q16" s="61" t="s">
        <v>157</v>
      </c>
      <c r="R16" s="5" t="s">
        <v>37</v>
      </c>
      <c r="S16" s="58">
        <v>100</v>
      </c>
      <c r="T16" s="58">
        <v>100</v>
      </c>
      <c r="U16" s="58">
        <v>100</v>
      </c>
      <c r="V16" s="58">
        <v>100</v>
      </c>
      <c r="W16" s="55">
        <f t="shared" si="3"/>
        <v>400</v>
      </c>
    </row>
    <row r="17" spans="1:23" ht="28.8" x14ac:dyDescent="0.3">
      <c r="A17" s="61" t="s">
        <v>158</v>
      </c>
      <c r="B17" s="5" t="s">
        <v>30</v>
      </c>
      <c r="C17" s="27">
        <v>20</v>
      </c>
      <c r="D17" s="27">
        <v>20</v>
      </c>
      <c r="E17" s="27">
        <v>20</v>
      </c>
      <c r="F17" s="27">
        <v>20</v>
      </c>
      <c r="G17" s="27">
        <v>20</v>
      </c>
      <c r="H17" s="27">
        <v>20</v>
      </c>
      <c r="I17" s="27">
        <v>20</v>
      </c>
      <c r="J17" s="27">
        <v>20</v>
      </c>
      <c r="K17" s="27">
        <v>20</v>
      </c>
      <c r="L17" s="27">
        <v>20</v>
      </c>
      <c r="M17" s="27">
        <v>20</v>
      </c>
      <c r="N17" s="27">
        <v>20</v>
      </c>
      <c r="O17" s="62">
        <f t="shared" si="2"/>
        <v>240</v>
      </c>
      <c r="Q17" s="61" t="s">
        <v>158</v>
      </c>
      <c r="R17" s="5" t="s">
        <v>44</v>
      </c>
      <c r="S17" s="58">
        <v>75</v>
      </c>
      <c r="T17" s="58">
        <v>75</v>
      </c>
      <c r="U17" s="58">
        <v>75</v>
      </c>
      <c r="V17" s="58">
        <v>75</v>
      </c>
      <c r="W17" s="55">
        <f t="shared" si="3"/>
        <v>300</v>
      </c>
    </row>
    <row r="18" spans="1:23" ht="28.8" x14ac:dyDescent="0.3">
      <c r="A18" s="61" t="s">
        <v>159</v>
      </c>
      <c r="B18" s="9" t="s">
        <v>24</v>
      </c>
      <c r="C18" s="7">
        <v>5</v>
      </c>
      <c r="D18" s="7">
        <v>5</v>
      </c>
      <c r="E18" s="7">
        <v>5</v>
      </c>
      <c r="F18" s="7">
        <v>5</v>
      </c>
      <c r="G18" s="7">
        <v>5</v>
      </c>
      <c r="H18" s="7">
        <v>5</v>
      </c>
      <c r="I18" s="7">
        <v>5</v>
      </c>
      <c r="J18" s="7">
        <v>5</v>
      </c>
      <c r="K18" s="7">
        <v>5</v>
      </c>
      <c r="L18" s="7">
        <v>5</v>
      </c>
      <c r="M18" s="7">
        <v>5</v>
      </c>
      <c r="N18" s="7">
        <v>5</v>
      </c>
      <c r="O18" s="62">
        <f t="shared" si="2"/>
        <v>60</v>
      </c>
      <c r="Q18" s="61" t="s">
        <v>159</v>
      </c>
      <c r="R18" s="5" t="s">
        <v>30</v>
      </c>
      <c r="S18" s="58">
        <v>75</v>
      </c>
      <c r="T18" s="58">
        <v>75</v>
      </c>
      <c r="U18" s="58">
        <v>75</v>
      </c>
      <c r="V18" s="58">
        <v>75</v>
      </c>
      <c r="W18" s="55">
        <f t="shared" si="3"/>
        <v>300</v>
      </c>
    </row>
    <row r="19" spans="1:23" x14ac:dyDescent="0.3">
      <c r="A19" s="59" t="s">
        <v>161</v>
      </c>
      <c r="B19" s="54" t="s">
        <v>162</v>
      </c>
      <c r="C19" s="55">
        <f>C4-C7</f>
        <v>-216</v>
      </c>
      <c r="D19" s="55">
        <f>D4-D7</f>
        <v>-127.29166666666667</v>
      </c>
      <c r="E19" s="55">
        <f>E4-E7</f>
        <v>-127.29166666666667</v>
      </c>
      <c r="F19" s="55">
        <f>F4-F7</f>
        <v>-127.29166666666667</v>
      </c>
      <c r="G19" s="55">
        <f>G4-G7</f>
        <v>-127.29166666666667</v>
      </c>
      <c r="H19" s="55">
        <f>H4-H7</f>
        <v>-127.29166666666667</v>
      </c>
      <c r="I19" s="55">
        <f>I4-I7</f>
        <v>1872.7083333333333</v>
      </c>
      <c r="J19" s="55">
        <f>J4-J7</f>
        <v>-127.29166666666667</v>
      </c>
      <c r="K19" s="55">
        <f>K4-K7</f>
        <v>-127.29166666666667</v>
      </c>
      <c r="L19" s="55">
        <f>L4-L7</f>
        <v>-127.29166666666667</v>
      </c>
      <c r="M19" s="55">
        <f>M4-M7</f>
        <v>-127.29166666666667</v>
      </c>
      <c r="N19" s="55">
        <f>N4-N7</f>
        <v>-127.29166666666667</v>
      </c>
      <c r="O19" s="55">
        <f>O4-O7</f>
        <v>383.79166666666629</v>
      </c>
      <c r="Q19" s="61" t="s">
        <v>160</v>
      </c>
      <c r="R19" s="9" t="s">
        <v>24</v>
      </c>
      <c r="S19" s="58">
        <v>18</v>
      </c>
      <c r="T19" s="58">
        <v>18</v>
      </c>
      <c r="U19" s="58">
        <v>18</v>
      </c>
      <c r="V19" s="58">
        <v>18</v>
      </c>
      <c r="W19" s="55">
        <f t="shared" si="3"/>
        <v>72</v>
      </c>
    </row>
    <row r="20" spans="1:23" ht="28.8" x14ac:dyDescent="0.3">
      <c r="A20" s="59" t="s">
        <v>163</v>
      </c>
      <c r="B20" s="54" t="s">
        <v>164</v>
      </c>
      <c r="C20" s="55">
        <f>C19</f>
        <v>-216</v>
      </c>
      <c r="D20" s="55">
        <f>C20+D19</f>
        <v>-343.29166666666669</v>
      </c>
      <c r="E20" s="55">
        <f t="shared" ref="E20:N20" si="5">D20+E19</f>
        <v>-470.58333333333337</v>
      </c>
      <c r="F20" s="55">
        <f>E20+F19</f>
        <v>-597.875</v>
      </c>
      <c r="G20" s="55">
        <f t="shared" si="5"/>
        <v>-725.16666666666663</v>
      </c>
      <c r="H20" s="55">
        <f t="shared" si="5"/>
        <v>-852.45833333333326</v>
      </c>
      <c r="I20" s="55">
        <f t="shared" si="5"/>
        <v>1020.25</v>
      </c>
      <c r="J20" s="55">
        <f t="shared" si="5"/>
        <v>892.95833333333337</v>
      </c>
      <c r="K20" s="55">
        <f>J20+K19</f>
        <v>765.66666666666674</v>
      </c>
      <c r="L20" s="55">
        <f t="shared" si="5"/>
        <v>638.37500000000011</v>
      </c>
      <c r="M20" s="55">
        <f t="shared" si="5"/>
        <v>511.08333333333343</v>
      </c>
      <c r="N20" s="55">
        <f t="shared" si="5"/>
        <v>383.79166666666674</v>
      </c>
      <c r="O20" s="55" t="s">
        <v>165</v>
      </c>
      <c r="Q20" s="61" t="s">
        <v>171</v>
      </c>
      <c r="R20" s="9" t="s">
        <v>38</v>
      </c>
      <c r="S20" s="58">
        <v>45</v>
      </c>
      <c r="T20" s="58">
        <v>45</v>
      </c>
      <c r="U20" s="58">
        <v>45</v>
      </c>
      <c r="V20" s="58">
        <v>45</v>
      </c>
      <c r="W20" s="55">
        <f t="shared" si="3"/>
        <v>180</v>
      </c>
    </row>
    <row r="21" spans="1:23" x14ac:dyDescent="0.3">
      <c r="Q21" s="61" t="s">
        <v>172</v>
      </c>
      <c r="R21" s="5" t="s">
        <v>39</v>
      </c>
      <c r="S21" s="58">
        <v>94</v>
      </c>
      <c r="T21" s="58">
        <v>94</v>
      </c>
      <c r="U21" s="58">
        <v>94</v>
      </c>
      <c r="V21" s="58">
        <v>94</v>
      </c>
      <c r="W21" s="55">
        <f t="shared" si="3"/>
        <v>376</v>
      </c>
    </row>
    <row r="22" spans="1:23" x14ac:dyDescent="0.3">
      <c r="Q22" s="59" t="s">
        <v>173</v>
      </c>
      <c r="R22" s="54" t="s">
        <v>174</v>
      </c>
      <c r="S22" s="60">
        <f>SUM(S23:S35)</f>
        <v>1168.75</v>
      </c>
      <c r="T22" s="60">
        <f t="shared" ref="T22:V22" si="6">SUM(T23:T35)</f>
        <v>268.75</v>
      </c>
      <c r="U22" s="60">
        <f t="shared" si="6"/>
        <v>268.75</v>
      </c>
      <c r="V22" s="60">
        <f t="shared" si="6"/>
        <v>268.75</v>
      </c>
      <c r="W22" s="55">
        <f t="shared" ref="W22:W28" si="7">SUM(S22:V22)</f>
        <v>1975</v>
      </c>
    </row>
    <row r="23" spans="1:23" x14ac:dyDescent="0.3">
      <c r="Q23" s="61" t="s">
        <v>150</v>
      </c>
      <c r="R23" s="20" t="s">
        <v>53</v>
      </c>
      <c r="S23" s="58">
        <v>15</v>
      </c>
      <c r="T23" s="58">
        <v>15</v>
      </c>
      <c r="U23" s="58">
        <v>15</v>
      </c>
      <c r="V23" s="58">
        <v>15</v>
      </c>
      <c r="W23" s="55">
        <f t="shared" si="7"/>
        <v>60</v>
      </c>
    </row>
    <row r="24" spans="1:23" x14ac:dyDescent="0.3">
      <c r="Q24" s="61" t="s">
        <v>151</v>
      </c>
      <c r="R24" s="20" t="s">
        <v>54</v>
      </c>
      <c r="S24" s="58">
        <v>50</v>
      </c>
      <c r="T24" s="58">
        <v>50</v>
      </c>
      <c r="U24" s="58">
        <v>50</v>
      </c>
      <c r="V24" s="58">
        <v>50</v>
      </c>
      <c r="W24" s="55">
        <f t="shared" si="7"/>
        <v>200</v>
      </c>
    </row>
    <row r="25" spans="1:23" x14ac:dyDescent="0.3">
      <c r="Q25" s="61" t="s">
        <v>152</v>
      </c>
      <c r="R25" s="23" t="s">
        <v>55</v>
      </c>
      <c r="S25" s="58">
        <v>15</v>
      </c>
      <c r="T25" s="58">
        <v>15</v>
      </c>
      <c r="U25" s="58">
        <v>15</v>
      </c>
      <c r="V25" s="58">
        <v>15</v>
      </c>
      <c r="W25" s="55">
        <f t="shared" si="7"/>
        <v>60</v>
      </c>
    </row>
    <row r="26" spans="1:23" ht="28.8" x14ac:dyDescent="0.3">
      <c r="Q26" s="61" t="s">
        <v>153</v>
      </c>
      <c r="R26" s="5" t="s">
        <v>56</v>
      </c>
      <c r="S26" s="58">
        <v>900</v>
      </c>
      <c r="T26" s="58">
        <v>0</v>
      </c>
      <c r="U26" s="58">
        <v>0</v>
      </c>
      <c r="V26" s="58">
        <v>0</v>
      </c>
      <c r="W26" s="55">
        <f t="shared" si="7"/>
        <v>900</v>
      </c>
    </row>
    <row r="27" spans="1:23" ht="28.8" x14ac:dyDescent="0.3">
      <c r="Q27" s="61" t="s">
        <v>154</v>
      </c>
      <c r="R27" s="5" t="s">
        <v>57</v>
      </c>
      <c r="S27" s="58">
        <v>12.5</v>
      </c>
      <c r="T27" s="58">
        <v>12.5</v>
      </c>
      <c r="U27" s="58">
        <v>12.5</v>
      </c>
      <c r="V27" s="58">
        <v>12.5</v>
      </c>
      <c r="W27" s="55">
        <f t="shared" si="7"/>
        <v>50</v>
      </c>
    </row>
    <row r="28" spans="1:23" x14ac:dyDescent="0.3">
      <c r="Q28" s="61" t="s">
        <v>155</v>
      </c>
      <c r="R28" s="20" t="s">
        <v>58</v>
      </c>
      <c r="S28" s="58">
        <v>12.5</v>
      </c>
      <c r="T28" s="58">
        <v>12.5</v>
      </c>
      <c r="U28" s="58">
        <v>12.5</v>
      </c>
      <c r="V28" s="58">
        <v>12.5</v>
      </c>
      <c r="W28" s="55">
        <f t="shared" si="7"/>
        <v>50</v>
      </c>
    </row>
    <row r="29" spans="1:23" x14ac:dyDescent="0.3">
      <c r="Q29" s="61" t="s">
        <v>156</v>
      </c>
      <c r="R29" s="20" t="s">
        <v>59</v>
      </c>
      <c r="S29" s="58">
        <v>15</v>
      </c>
      <c r="T29" s="58">
        <v>15</v>
      </c>
      <c r="U29" s="58">
        <v>15</v>
      </c>
      <c r="V29" s="58">
        <v>15</v>
      </c>
      <c r="W29" s="55">
        <f>SUM(S29:V29)</f>
        <v>60</v>
      </c>
    </row>
    <row r="30" spans="1:23" ht="28.8" x14ac:dyDescent="0.3">
      <c r="Q30" s="61" t="s">
        <v>157</v>
      </c>
      <c r="R30" s="5" t="s">
        <v>60</v>
      </c>
      <c r="S30" s="58">
        <v>17.5</v>
      </c>
      <c r="T30" s="58">
        <v>17.5</v>
      </c>
      <c r="U30" s="58">
        <v>17.5</v>
      </c>
      <c r="V30" s="58">
        <v>17.5</v>
      </c>
      <c r="W30" s="55">
        <f>SUM(S30:V30)</f>
        <v>70</v>
      </c>
    </row>
    <row r="31" spans="1:23" x14ac:dyDescent="0.3">
      <c r="Q31" s="61" t="s">
        <v>158</v>
      </c>
      <c r="R31" s="20" t="s">
        <v>61</v>
      </c>
      <c r="S31" s="58">
        <v>6.25</v>
      </c>
      <c r="T31" s="58">
        <v>6.25</v>
      </c>
      <c r="U31" s="58">
        <v>6.25</v>
      </c>
      <c r="V31" s="58">
        <v>6.25</v>
      </c>
      <c r="W31" s="55">
        <f>SUM(S31:V31)</f>
        <v>25</v>
      </c>
    </row>
    <row r="32" spans="1:23" x14ac:dyDescent="0.3">
      <c r="Q32" s="61" t="s">
        <v>159</v>
      </c>
      <c r="R32" s="20" t="s">
        <v>62</v>
      </c>
      <c r="S32" s="58">
        <v>7.5</v>
      </c>
      <c r="T32" s="58">
        <v>7.5</v>
      </c>
      <c r="U32" s="58">
        <v>7.5</v>
      </c>
      <c r="V32" s="58">
        <v>7.5</v>
      </c>
      <c r="W32" s="55">
        <f>SUM(S32:V32)</f>
        <v>30</v>
      </c>
    </row>
    <row r="33" spans="17:23" x14ac:dyDescent="0.3">
      <c r="Q33" s="61" t="s">
        <v>160</v>
      </c>
      <c r="R33" s="20" t="s">
        <v>49</v>
      </c>
      <c r="S33" s="58">
        <v>5</v>
      </c>
      <c r="T33" s="58">
        <v>5</v>
      </c>
      <c r="U33" s="58">
        <v>5</v>
      </c>
      <c r="V33" s="58">
        <v>5</v>
      </c>
      <c r="W33" s="55">
        <f>SUM(S33:V33)</f>
        <v>20</v>
      </c>
    </row>
    <row r="34" spans="17:23" ht="28.8" x14ac:dyDescent="0.3">
      <c r="Q34" s="61" t="s">
        <v>171</v>
      </c>
      <c r="R34" s="5" t="s">
        <v>63</v>
      </c>
      <c r="S34" s="58">
        <v>37.5</v>
      </c>
      <c r="T34" s="58">
        <v>37.5</v>
      </c>
      <c r="U34" s="58">
        <v>37.5</v>
      </c>
      <c r="V34" s="58">
        <v>37.5</v>
      </c>
      <c r="W34" s="55">
        <f>SUM(S34:V34)</f>
        <v>150</v>
      </c>
    </row>
    <row r="35" spans="17:23" x14ac:dyDescent="0.3">
      <c r="Q35" s="61" t="s">
        <v>172</v>
      </c>
      <c r="R35" s="20" t="s">
        <v>50</v>
      </c>
      <c r="S35" s="58">
        <v>75</v>
      </c>
      <c r="T35" s="58">
        <v>75</v>
      </c>
      <c r="U35" s="58">
        <v>75</v>
      </c>
      <c r="V35" s="58">
        <v>75</v>
      </c>
      <c r="W35" s="55">
        <f>SUM(S35:V35)</f>
        <v>300</v>
      </c>
    </row>
    <row r="36" spans="17:23" x14ac:dyDescent="0.3">
      <c r="Q36" s="59" t="s">
        <v>161</v>
      </c>
      <c r="R36" s="54" t="s">
        <v>162</v>
      </c>
      <c r="S36" s="55">
        <f>S5-S7</f>
        <v>-1247.625</v>
      </c>
      <c r="T36" s="55">
        <f>T5-T7</f>
        <v>-733.875</v>
      </c>
      <c r="U36" s="55">
        <f>U5-U7</f>
        <v>586.125</v>
      </c>
      <c r="V36" s="55">
        <f>V5-V7</f>
        <v>4486.125</v>
      </c>
      <c r="W36" s="55">
        <f>W5-W7</f>
        <v>3090.75</v>
      </c>
    </row>
    <row r="37" spans="17:23" x14ac:dyDescent="0.3">
      <c r="Q37" s="59" t="s">
        <v>163</v>
      </c>
      <c r="R37" s="54" t="s">
        <v>164</v>
      </c>
      <c r="S37" s="55">
        <f>S36</f>
        <v>-1247.625</v>
      </c>
      <c r="T37" s="55">
        <f>S37+T36</f>
        <v>-1981.5</v>
      </c>
      <c r="U37" s="55">
        <f t="shared" ref="U37" si="8">T37+U36</f>
        <v>-1395.375</v>
      </c>
      <c r="V37" s="55">
        <f>U37+V36</f>
        <v>3090.75</v>
      </c>
      <c r="W37" s="55" t="s">
        <v>165</v>
      </c>
    </row>
    <row r="39" spans="17:23" x14ac:dyDescent="0.3">
      <c r="Q39" t="s">
        <v>175</v>
      </c>
      <c r="T39" s="45"/>
    </row>
    <row r="40" spans="17:23" x14ac:dyDescent="0.3">
      <c r="Q40" s="46" t="s">
        <v>0</v>
      </c>
      <c r="R40" s="46" t="s">
        <v>130</v>
      </c>
      <c r="S40" s="47" t="s">
        <v>168</v>
      </c>
      <c r="T40" s="48"/>
      <c r="U40" s="48"/>
      <c r="V40" s="49"/>
      <c r="W40" s="50" t="s">
        <v>98</v>
      </c>
    </row>
    <row r="41" spans="17:23" x14ac:dyDescent="0.3">
      <c r="Q41" s="46"/>
      <c r="R41" s="46"/>
      <c r="S41" s="51" t="s">
        <v>99</v>
      </c>
      <c r="T41" s="51" t="s">
        <v>100</v>
      </c>
      <c r="U41" s="51" t="s">
        <v>101</v>
      </c>
      <c r="V41" s="51" t="s">
        <v>102</v>
      </c>
      <c r="W41" s="52"/>
    </row>
    <row r="42" spans="17:23" x14ac:dyDescent="0.3">
      <c r="Q42" s="53">
        <v>1</v>
      </c>
      <c r="R42" s="54" t="s">
        <v>144</v>
      </c>
      <c r="S42" s="55">
        <f>SUM(S43:S43)</f>
        <v>3650</v>
      </c>
      <c r="T42" s="55">
        <f>SUM(T43:T43)</f>
        <v>900</v>
      </c>
      <c r="U42" s="55">
        <f>SUM(U43:U43)</f>
        <v>4070</v>
      </c>
      <c r="V42" s="55">
        <f>SUM(V43:V43)</f>
        <v>1090</v>
      </c>
      <c r="W42" s="55">
        <f>SUM(S42:V42)</f>
        <v>9710</v>
      </c>
    </row>
    <row r="43" spans="17:23" x14ac:dyDescent="0.3">
      <c r="Q43" s="56" t="s">
        <v>145</v>
      </c>
      <c r="R43" s="57" t="s">
        <v>169</v>
      </c>
      <c r="S43" s="58">
        <v>3650</v>
      </c>
      <c r="T43" s="58">
        <v>900</v>
      </c>
      <c r="U43" s="58">
        <v>4070</v>
      </c>
      <c r="V43" s="58">
        <v>1090</v>
      </c>
      <c r="W43" s="55">
        <f>SUM(S43:V43)</f>
        <v>9710</v>
      </c>
    </row>
    <row r="44" spans="17:23" x14ac:dyDescent="0.3">
      <c r="Q44" s="53">
        <v>2</v>
      </c>
      <c r="R44" s="54" t="s">
        <v>147</v>
      </c>
      <c r="S44" s="55">
        <f>S45+S58</f>
        <v>1672.7249999999999</v>
      </c>
      <c r="T44" s="55">
        <f>T45+T58</f>
        <v>1672.7249999999999</v>
      </c>
      <c r="U44" s="55">
        <f>U45+U58</f>
        <v>1672.7249999999999</v>
      </c>
      <c r="V44" s="55">
        <f>V45+V58</f>
        <v>1672.7249999999999</v>
      </c>
      <c r="W44" s="55">
        <f>SUM(S44:V44)</f>
        <v>6690.9</v>
      </c>
    </row>
    <row r="45" spans="17:23" x14ac:dyDescent="0.3">
      <c r="Q45" s="59" t="s">
        <v>148</v>
      </c>
      <c r="R45" s="54" t="s">
        <v>170</v>
      </c>
      <c r="S45" s="60">
        <f>SUM(S46:S57)</f>
        <v>1262.7249999999999</v>
      </c>
      <c r="T45" s="60">
        <f>SUM(T46:T57)</f>
        <v>1262.7249999999999</v>
      </c>
      <c r="U45" s="60">
        <f>SUM(U46:U57)</f>
        <v>1262.7249999999999</v>
      </c>
      <c r="V45" s="60">
        <f>SUM(V46:V57)</f>
        <v>1262.7249999999999</v>
      </c>
      <c r="W45" s="55">
        <v>5051.18</v>
      </c>
    </row>
    <row r="46" spans="17:23" ht="28.8" x14ac:dyDescent="0.3">
      <c r="Q46" s="61" t="s">
        <v>150</v>
      </c>
      <c r="R46" s="5" t="s">
        <v>27</v>
      </c>
      <c r="S46" s="58">
        <v>264</v>
      </c>
      <c r="T46" s="58">
        <v>264</v>
      </c>
      <c r="U46" s="58">
        <v>264</v>
      </c>
      <c r="V46" s="58">
        <v>264</v>
      </c>
      <c r="W46" s="55">
        <f t="shared" ref="W46:W57" si="9">SUM(S46:V46)</f>
        <v>1056</v>
      </c>
    </row>
    <row r="47" spans="17:23" x14ac:dyDescent="0.3">
      <c r="Q47" s="61" t="s">
        <v>151</v>
      </c>
      <c r="R47" s="8" t="s">
        <v>22</v>
      </c>
      <c r="S47" s="58">
        <v>135</v>
      </c>
      <c r="T47" s="58">
        <v>135</v>
      </c>
      <c r="U47" s="58">
        <v>135</v>
      </c>
      <c r="V47" s="58">
        <v>135</v>
      </c>
      <c r="W47" s="55">
        <f t="shared" si="9"/>
        <v>540</v>
      </c>
    </row>
    <row r="48" spans="17:23" x14ac:dyDescent="0.3">
      <c r="Q48" s="61" t="s">
        <v>152</v>
      </c>
      <c r="R48" s="5" t="s">
        <v>35</v>
      </c>
      <c r="S48" s="58">
        <v>10.5</v>
      </c>
      <c r="T48" s="58">
        <v>10.5</v>
      </c>
      <c r="U48" s="58">
        <v>10.5</v>
      </c>
      <c r="V48" s="58">
        <v>10.5</v>
      </c>
      <c r="W48" s="55">
        <f t="shared" si="9"/>
        <v>42</v>
      </c>
    </row>
    <row r="49" spans="17:23" x14ac:dyDescent="0.3">
      <c r="Q49" s="61" t="s">
        <v>153</v>
      </c>
      <c r="R49" s="5" t="s">
        <v>28</v>
      </c>
      <c r="S49" s="58">
        <v>75</v>
      </c>
      <c r="T49" s="58">
        <v>75</v>
      </c>
      <c r="U49" s="58">
        <v>75</v>
      </c>
      <c r="V49" s="58">
        <v>75</v>
      </c>
      <c r="W49" s="55">
        <f t="shared" si="9"/>
        <v>300</v>
      </c>
    </row>
    <row r="50" spans="17:23" ht="28.8" x14ac:dyDescent="0.3">
      <c r="Q50" s="61" t="s">
        <v>154</v>
      </c>
      <c r="R50" s="5" t="s">
        <v>29</v>
      </c>
      <c r="S50" s="58">
        <v>28.125</v>
      </c>
      <c r="T50" s="58">
        <v>28.125</v>
      </c>
      <c r="U50" s="58">
        <v>28.125</v>
      </c>
      <c r="V50" s="58">
        <v>28.125</v>
      </c>
      <c r="W50" s="55">
        <f t="shared" si="9"/>
        <v>112.5</v>
      </c>
    </row>
    <row r="51" spans="17:23" ht="28.8" x14ac:dyDescent="0.3">
      <c r="Q51" s="61" t="s">
        <v>155</v>
      </c>
      <c r="R51" s="5" t="s">
        <v>36</v>
      </c>
      <c r="S51" s="58">
        <v>162.5</v>
      </c>
      <c r="T51" s="58">
        <v>162.5</v>
      </c>
      <c r="U51" s="58">
        <v>162.5</v>
      </c>
      <c r="V51" s="58">
        <v>162.5</v>
      </c>
      <c r="W51" s="55">
        <f t="shared" si="9"/>
        <v>650</v>
      </c>
    </row>
    <row r="52" spans="17:23" ht="28.8" x14ac:dyDescent="0.3">
      <c r="Q52" s="61" t="s">
        <v>156</v>
      </c>
      <c r="R52" s="5" t="s">
        <v>37</v>
      </c>
      <c r="S52" s="58">
        <v>125</v>
      </c>
      <c r="T52" s="58">
        <v>125</v>
      </c>
      <c r="U52" s="58">
        <v>125</v>
      </c>
      <c r="V52" s="58">
        <v>125</v>
      </c>
      <c r="W52" s="55">
        <f t="shared" si="9"/>
        <v>500</v>
      </c>
    </row>
    <row r="53" spans="17:23" x14ac:dyDescent="0.3">
      <c r="Q53" s="61" t="s">
        <v>157</v>
      </c>
      <c r="R53" s="5" t="s">
        <v>44</v>
      </c>
      <c r="S53" s="58">
        <v>130</v>
      </c>
      <c r="T53" s="58">
        <v>130</v>
      </c>
      <c r="U53" s="58">
        <v>130</v>
      </c>
      <c r="V53" s="58">
        <v>130</v>
      </c>
      <c r="W53" s="55">
        <f t="shared" si="9"/>
        <v>520</v>
      </c>
    </row>
    <row r="54" spans="17:23" ht="28.8" x14ac:dyDescent="0.3">
      <c r="Q54" s="61" t="s">
        <v>158</v>
      </c>
      <c r="R54" s="5" t="s">
        <v>30</v>
      </c>
      <c r="S54" s="58">
        <v>105</v>
      </c>
      <c r="T54" s="58">
        <v>105</v>
      </c>
      <c r="U54" s="58">
        <v>105</v>
      </c>
      <c r="V54" s="58">
        <v>105</v>
      </c>
      <c r="W54" s="55">
        <f t="shared" si="9"/>
        <v>420</v>
      </c>
    </row>
    <row r="55" spans="17:23" x14ac:dyDescent="0.3">
      <c r="Q55" s="61" t="s">
        <v>159</v>
      </c>
      <c r="R55" s="9" t="s">
        <v>24</v>
      </c>
      <c r="S55" s="58">
        <v>21</v>
      </c>
      <c r="T55" s="58">
        <v>21</v>
      </c>
      <c r="U55" s="58">
        <v>21</v>
      </c>
      <c r="V55" s="58">
        <v>21</v>
      </c>
      <c r="W55" s="55">
        <f t="shared" si="9"/>
        <v>84</v>
      </c>
    </row>
    <row r="56" spans="17:23" ht="28.8" x14ac:dyDescent="0.3">
      <c r="Q56" s="61" t="s">
        <v>160</v>
      </c>
      <c r="R56" s="9" t="s">
        <v>38</v>
      </c>
      <c r="S56" s="58">
        <v>75</v>
      </c>
      <c r="T56" s="58">
        <v>75</v>
      </c>
      <c r="U56" s="58">
        <v>75</v>
      </c>
      <c r="V56" s="58">
        <v>75</v>
      </c>
      <c r="W56" s="55">
        <f t="shared" si="9"/>
        <v>300</v>
      </c>
    </row>
    <row r="57" spans="17:23" x14ac:dyDescent="0.3">
      <c r="Q57" s="61" t="s">
        <v>171</v>
      </c>
      <c r="R57" s="5" t="s">
        <v>39</v>
      </c>
      <c r="S57" s="58">
        <v>131.6</v>
      </c>
      <c r="T57" s="58">
        <v>131.6</v>
      </c>
      <c r="U57" s="58">
        <v>131.6</v>
      </c>
      <c r="V57" s="58">
        <v>131.6</v>
      </c>
      <c r="W57" s="55">
        <f t="shared" si="9"/>
        <v>526.4</v>
      </c>
    </row>
    <row r="58" spans="17:23" x14ac:dyDescent="0.3">
      <c r="Q58" s="59" t="s">
        <v>173</v>
      </c>
      <c r="R58" s="54" t="s">
        <v>174</v>
      </c>
      <c r="S58" s="60">
        <f>SUM(S59:S71)</f>
        <v>410</v>
      </c>
      <c r="T58" s="60">
        <f t="shared" ref="T58:V58" si="10">SUM(T59:T71)</f>
        <v>410</v>
      </c>
      <c r="U58" s="60">
        <f t="shared" si="10"/>
        <v>410</v>
      </c>
      <c r="V58" s="60">
        <f t="shared" si="10"/>
        <v>410</v>
      </c>
      <c r="W58" s="55">
        <f t="shared" ref="W58:W64" si="11">SUM(S58:V58)</f>
        <v>1640</v>
      </c>
    </row>
    <row r="59" spans="17:23" x14ac:dyDescent="0.3">
      <c r="Q59" s="61" t="s">
        <v>150</v>
      </c>
      <c r="R59" s="20" t="s">
        <v>53</v>
      </c>
      <c r="S59" s="58">
        <f>80/4</f>
        <v>20</v>
      </c>
      <c r="T59" s="58">
        <f t="shared" ref="T59:V59" si="12">80/4</f>
        <v>20</v>
      </c>
      <c r="U59" s="58">
        <f t="shared" si="12"/>
        <v>20</v>
      </c>
      <c r="V59" s="58">
        <f t="shared" si="12"/>
        <v>20</v>
      </c>
      <c r="W59" s="55">
        <f t="shared" si="11"/>
        <v>80</v>
      </c>
    </row>
    <row r="60" spans="17:23" x14ac:dyDescent="0.3">
      <c r="Q60" s="61" t="s">
        <v>151</v>
      </c>
      <c r="R60" s="20" t="s">
        <v>54</v>
      </c>
      <c r="S60" s="58">
        <f>300/4</f>
        <v>75</v>
      </c>
      <c r="T60" s="58">
        <f t="shared" ref="T60:V60" si="13">300/4</f>
        <v>75</v>
      </c>
      <c r="U60" s="58">
        <f t="shared" si="13"/>
        <v>75</v>
      </c>
      <c r="V60" s="58">
        <f t="shared" si="13"/>
        <v>75</v>
      </c>
      <c r="W60" s="55">
        <f t="shared" si="11"/>
        <v>300</v>
      </c>
    </row>
    <row r="61" spans="17:23" x14ac:dyDescent="0.3">
      <c r="Q61" s="61" t="s">
        <v>152</v>
      </c>
      <c r="R61" s="23" t="s">
        <v>55</v>
      </c>
      <c r="S61" s="58">
        <f>120/4</f>
        <v>30</v>
      </c>
      <c r="T61" s="58">
        <f t="shared" ref="T61:V61" si="14">120/4</f>
        <v>30</v>
      </c>
      <c r="U61" s="58">
        <f t="shared" si="14"/>
        <v>30</v>
      </c>
      <c r="V61" s="58">
        <f t="shared" si="14"/>
        <v>30</v>
      </c>
      <c r="W61" s="55">
        <f t="shared" si="11"/>
        <v>120</v>
      </c>
    </row>
    <row r="62" spans="17:23" ht="28.8" x14ac:dyDescent="0.3">
      <c r="Q62" s="61" t="s">
        <v>153</v>
      </c>
      <c r="R62" s="5" t="s">
        <v>56</v>
      </c>
      <c r="S62" s="58">
        <f>100/4</f>
        <v>25</v>
      </c>
      <c r="T62" s="58">
        <f t="shared" ref="T62:V62" si="15">100/4</f>
        <v>25</v>
      </c>
      <c r="U62" s="58">
        <f t="shared" si="15"/>
        <v>25</v>
      </c>
      <c r="V62" s="58">
        <f t="shared" si="15"/>
        <v>25</v>
      </c>
      <c r="W62" s="55">
        <f t="shared" si="11"/>
        <v>100</v>
      </c>
    </row>
    <row r="63" spans="17:23" ht="28.8" x14ac:dyDescent="0.3">
      <c r="Q63" s="61" t="s">
        <v>154</v>
      </c>
      <c r="R63" s="5" t="s">
        <v>57</v>
      </c>
      <c r="S63" s="58">
        <f>25/4</f>
        <v>6.25</v>
      </c>
      <c r="T63" s="58">
        <f t="shared" ref="T63:V63" si="16">25/4</f>
        <v>6.25</v>
      </c>
      <c r="U63" s="58">
        <f t="shared" si="16"/>
        <v>6.25</v>
      </c>
      <c r="V63" s="58">
        <f t="shared" si="16"/>
        <v>6.25</v>
      </c>
      <c r="W63" s="55">
        <f t="shared" si="11"/>
        <v>25</v>
      </c>
    </row>
    <row r="64" spans="17:23" x14ac:dyDescent="0.3">
      <c r="Q64" s="61" t="s">
        <v>155</v>
      </c>
      <c r="R64" s="20" t="s">
        <v>58</v>
      </c>
      <c r="S64" s="58">
        <f>65/4</f>
        <v>16.25</v>
      </c>
      <c r="T64" s="58">
        <f t="shared" ref="T64:V64" si="17">65/4</f>
        <v>16.25</v>
      </c>
      <c r="U64" s="58">
        <f t="shared" si="17"/>
        <v>16.25</v>
      </c>
      <c r="V64" s="58">
        <f t="shared" si="17"/>
        <v>16.25</v>
      </c>
      <c r="W64" s="55">
        <f t="shared" si="11"/>
        <v>65</v>
      </c>
    </row>
    <row r="65" spans="17:23" x14ac:dyDescent="0.3">
      <c r="Q65" s="61" t="s">
        <v>156</v>
      </c>
      <c r="R65" s="20" t="s">
        <v>59</v>
      </c>
      <c r="S65" s="58">
        <f>80/4</f>
        <v>20</v>
      </c>
      <c r="T65" s="58">
        <f t="shared" ref="T65:V65" si="18">80/4</f>
        <v>20</v>
      </c>
      <c r="U65" s="58">
        <f t="shared" si="18"/>
        <v>20</v>
      </c>
      <c r="V65" s="58">
        <f t="shared" si="18"/>
        <v>20</v>
      </c>
      <c r="W65" s="55">
        <f>SUM(S65:V65)</f>
        <v>80</v>
      </c>
    </row>
    <row r="66" spans="17:23" ht="28.8" x14ac:dyDescent="0.3">
      <c r="Q66" s="61" t="s">
        <v>157</v>
      </c>
      <c r="R66" s="5" t="s">
        <v>60</v>
      </c>
      <c r="S66" s="58">
        <f>110/4</f>
        <v>27.5</v>
      </c>
      <c r="T66" s="58">
        <f t="shared" ref="T66:V66" si="19">110/4</f>
        <v>27.5</v>
      </c>
      <c r="U66" s="58">
        <f t="shared" si="19"/>
        <v>27.5</v>
      </c>
      <c r="V66" s="58">
        <f t="shared" si="19"/>
        <v>27.5</v>
      </c>
      <c r="W66" s="55">
        <f>SUM(S66:V66)</f>
        <v>110</v>
      </c>
    </row>
    <row r="67" spans="17:23" x14ac:dyDescent="0.3">
      <c r="Q67" s="61" t="s">
        <v>158</v>
      </c>
      <c r="R67" s="20" t="s">
        <v>61</v>
      </c>
      <c r="S67" s="58">
        <f>50/4</f>
        <v>12.5</v>
      </c>
      <c r="T67" s="58">
        <f t="shared" ref="T67:V68" si="20">50/4</f>
        <v>12.5</v>
      </c>
      <c r="U67" s="58">
        <f t="shared" si="20"/>
        <v>12.5</v>
      </c>
      <c r="V67" s="58">
        <f t="shared" si="20"/>
        <v>12.5</v>
      </c>
      <c r="W67" s="55">
        <f>SUM(S67:V67)</f>
        <v>50</v>
      </c>
    </row>
    <row r="68" spans="17:23" x14ac:dyDescent="0.3">
      <c r="Q68" s="61" t="s">
        <v>159</v>
      </c>
      <c r="R68" s="20" t="s">
        <v>62</v>
      </c>
      <c r="S68" s="58">
        <f>50/4</f>
        <v>12.5</v>
      </c>
      <c r="T68" s="58">
        <f t="shared" si="20"/>
        <v>12.5</v>
      </c>
      <c r="U68" s="58">
        <f t="shared" si="20"/>
        <v>12.5</v>
      </c>
      <c r="V68" s="58">
        <f t="shared" si="20"/>
        <v>12.5</v>
      </c>
      <c r="W68" s="55">
        <f>SUM(S68:V68)</f>
        <v>50</v>
      </c>
    </row>
    <row r="69" spans="17:23" x14ac:dyDescent="0.3">
      <c r="Q69" s="61" t="s">
        <v>160</v>
      </c>
      <c r="R69" s="20" t="s">
        <v>49</v>
      </c>
      <c r="S69" s="58">
        <f>30/4</f>
        <v>7.5</v>
      </c>
      <c r="T69" s="58">
        <f t="shared" ref="T69:V69" si="21">30/4</f>
        <v>7.5</v>
      </c>
      <c r="U69" s="58">
        <f t="shared" si="21"/>
        <v>7.5</v>
      </c>
      <c r="V69" s="58">
        <f t="shared" si="21"/>
        <v>7.5</v>
      </c>
      <c r="W69" s="55">
        <f>SUM(S69:V69)</f>
        <v>30</v>
      </c>
    </row>
    <row r="70" spans="17:23" ht="28.8" x14ac:dyDescent="0.3">
      <c r="Q70" s="61" t="s">
        <v>171</v>
      </c>
      <c r="R70" s="5" t="s">
        <v>63</v>
      </c>
      <c r="S70" s="58">
        <f>180/4</f>
        <v>45</v>
      </c>
      <c r="T70" s="58">
        <f t="shared" ref="T70:V70" si="22">180/4</f>
        <v>45</v>
      </c>
      <c r="U70" s="58">
        <f t="shared" si="22"/>
        <v>45</v>
      </c>
      <c r="V70" s="58">
        <f t="shared" si="22"/>
        <v>45</v>
      </c>
      <c r="W70" s="55">
        <f>SUM(S70:V70)</f>
        <v>180</v>
      </c>
    </row>
    <row r="71" spans="17:23" x14ac:dyDescent="0.3">
      <c r="Q71" s="61" t="s">
        <v>172</v>
      </c>
      <c r="R71" s="20" t="s">
        <v>50</v>
      </c>
      <c r="S71" s="58">
        <f>450/4</f>
        <v>112.5</v>
      </c>
      <c r="T71" s="58">
        <f t="shared" ref="T71:V71" si="23">450/4</f>
        <v>112.5</v>
      </c>
      <c r="U71" s="58">
        <f t="shared" si="23"/>
        <v>112.5</v>
      </c>
      <c r="V71" s="58">
        <f t="shared" si="23"/>
        <v>112.5</v>
      </c>
      <c r="W71" s="55">
        <f>SUM(S71:V71)</f>
        <v>450</v>
      </c>
    </row>
    <row r="72" spans="17:23" x14ac:dyDescent="0.3">
      <c r="Q72" s="59" t="s">
        <v>161</v>
      </c>
      <c r="R72" s="54" t="s">
        <v>162</v>
      </c>
      <c r="S72" s="55">
        <f>S42-S44</f>
        <v>1977.2750000000001</v>
      </c>
      <c r="T72" s="55">
        <f>T42-T44</f>
        <v>-772.72499999999991</v>
      </c>
      <c r="U72" s="55">
        <f>U42-U44</f>
        <v>2397.2750000000001</v>
      </c>
      <c r="V72" s="55">
        <f>V42-V44</f>
        <v>-582.72499999999991</v>
      </c>
      <c r="W72" s="55">
        <f>W42-W44</f>
        <v>3019.1000000000004</v>
      </c>
    </row>
    <row r="73" spans="17:23" x14ac:dyDescent="0.3">
      <c r="Q73" s="59" t="s">
        <v>163</v>
      </c>
      <c r="R73" s="54" t="s">
        <v>164</v>
      </c>
      <c r="S73" s="55">
        <f>S72</f>
        <v>1977.2750000000001</v>
      </c>
      <c r="T73" s="55">
        <f>S73+T72</f>
        <v>1204.5500000000002</v>
      </c>
      <c r="U73" s="55">
        <f t="shared" ref="U73" si="24">T73+U72</f>
        <v>3601.8250000000003</v>
      </c>
      <c r="V73" s="55">
        <f>U73+V72</f>
        <v>3019.1000000000004</v>
      </c>
      <c r="W73" s="55" t="s">
        <v>165</v>
      </c>
    </row>
    <row r="75" spans="17:23" x14ac:dyDescent="0.3">
      <c r="Q75" t="s">
        <v>176</v>
      </c>
      <c r="T75" s="45"/>
    </row>
    <row r="76" spans="17:23" x14ac:dyDescent="0.3">
      <c r="Q76" s="46" t="s">
        <v>0</v>
      </c>
      <c r="R76" s="46" t="s">
        <v>130</v>
      </c>
      <c r="S76" s="47" t="s">
        <v>168</v>
      </c>
      <c r="T76" s="48"/>
      <c r="U76" s="48"/>
      <c r="V76" s="49"/>
      <c r="W76" s="50" t="s">
        <v>98</v>
      </c>
    </row>
    <row r="77" spans="17:23" x14ac:dyDescent="0.3">
      <c r="Q77" s="46"/>
      <c r="R77" s="46"/>
      <c r="S77" s="51" t="s">
        <v>99</v>
      </c>
      <c r="T77" s="51" t="s">
        <v>100</v>
      </c>
      <c r="U77" s="51" t="s">
        <v>101</v>
      </c>
      <c r="V77" s="51" t="s">
        <v>102</v>
      </c>
      <c r="W77" s="52"/>
    </row>
    <row r="78" spans="17:23" x14ac:dyDescent="0.3">
      <c r="Q78" s="53">
        <v>1</v>
      </c>
      <c r="R78" s="54" t="s">
        <v>144</v>
      </c>
      <c r="S78" s="55">
        <f>SUM(S79:S79)</f>
        <v>3420</v>
      </c>
      <c r="T78" s="55">
        <f>SUM(T79:T79)</f>
        <v>1320</v>
      </c>
      <c r="U78" s="55">
        <f>SUM(U79:U79)</f>
        <v>2240</v>
      </c>
      <c r="V78" s="55">
        <f>SUM(V79:V79)</f>
        <v>6468</v>
      </c>
      <c r="W78" s="55">
        <f>SUM(S78:V78)</f>
        <v>13448</v>
      </c>
    </row>
    <row r="79" spans="17:23" x14ac:dyDescent="0.3">
      <c r="Q79" s="56" t="s">
        <v>145</v>
      </c>
      <c r="R79" s="57" t="s">
        <v>169</v>
      </c>
      <c r="S79" s="58">
        <v>3420</v>
      </c>
      <c r="T79" s="58">
        <v>1320</v>
      </c>
      <c r="U79" s="58">
        <v>2240</v>
      </c>
      <c r="V79" s="58">
        <v>6468</v>
      </c>
      <c r="W79" s="55">
        <f>SUM(S79:V79)</f>
        <v>13448</v>
      </c>
    </row>
    <row r="80" spans="17:23" x14ac:dyDescent="0.3">
      <c r="Q80" s="53">
        <v>2</v>
      </c>
      <c r="R80" s="54" t="s">
        <v>147</v>
      </c>
      <c r="S80" s="55">
        <f>S81+S94</f>
        <v>2272.4749999999999</v>
      </c>
      <c r="T80" s="55">
        <f>T81+T94</f>
        <v>2272.4749999999999</v>
      </c>
      <c r="U80" s="55">
        <f>U81+U94</f>
        <v>2272.4749999999999</v>
      </c>
      <c r="V80" s="55">
        <f>V81+V94</f>
        <v>2272.4749999999999</v>
      </c>
      <c r="W80" s="55">
        <f>SUM(S80:V80)</f>
        <v>9089.9</v>
      </c>
    </row>
    <row r="81" spans="17:23" x14ac:dyDescent="0.3">
      <c r="Q81" s="59" t="s">
        <v>148</v>
      </c>
      <c r="R81" s="54" t="s">
        <v>170</v>
      </c>
      <c r="S81" s="60">
        <f>SUM(S82:S93)</f>
        <v>1733.7249999999999</v>
      </c>
      <c r="T81" s="60">
        <f>SUM(T82:T93)</f>
        <v>1733.7249999999999</v>
      </c>
      <c r="U81" s="60">
        <f>SUM(U82:U93)</f>
        <v>1733.7249999999999</v>
      </c>
      <c r="V81" s="60">
        <f>SUM(V82:V93)</f>
        <v>1733.7249999999999</v>
      </c>
      <c r="W81" s="55">
        <v>5051.18</v>
      </c>
    </row>
    <row r="82" spans="17:23" ht="28.8" x14ac:dyDescent="0.3">
      <c r="Q82" s="61" t="s">
        <v>150</v>
      </c>
      <c r="R82" s="5" t="s">
        <v>27</v>
      </c>
      <c r="S82" s="58">
        <v>360</v>
      </c>
      <c r="T82" s="58">
        <v>360</v>
      </c>
      <c r="U82" s="58">
        <v>360</v>
      </c>
      <c r="V82" s="58">
        <v>360</v>
      </c>
      <c r="W82" s="55">
        <f t="shared" ref="W82:W93" si="25">SUM(S82:V82)</f>
        <v>1440</v>
      </c>
    </row>
    <row r="83" spans="17:23" x14ac:dyDescent="0.3">
      <c r="Q83" s="61" t="s">
        <v>151</v>
      </c>
      <c r="R83" s="8" t="s">
        <v>22</v>
      </c>
      <c r="S83" s="58">
        <v>210</v>
      </c>
      <c r="T83" s="58">
        <v>210</v>
      </c>
      <c r="U83" s="58">
        <v>210</v>
      </c>
      <c r="V83" s="58">
        <v>210</v>
      </c>
      <c r="W83" s="55">
        <f t="shared" si="25"/>
        <v>840</v>
      </c>
    </row>
    <row r="84" spans="17:23" x14ac:dyDescent="0.3">
      <c r="Q84" s="61" t="s">
        <v>152</v>
      </c>
      <c r="R84" s="5" t="s">
        <v>35</v>
      </c>
      <c r="S84" s="58">
        <v>13.5</v>
      </c>
      <c r="T84" s="58">
        <v>13.5</v>
      </c>
      <c r="U84" s="58">
        <v>13.5</v>
      </c>
      <c r="V84" s="58">
        <v>13.5</v>
      </c>
      <c r="W84" s="55">
        <f t="shared" si="25"/>
        <v>54</v>
      </c>
    </row>
    <row r="85" spans="17:23" x14ac:dyDescent="0.3">
      <c r="Q85" s="61" t="s">
        <v>153</v>
      </c>
      <c r="R85" s="5" t="s">
        <v>28</v>
      </c>
      <c r="S85" s="58">
        <v>90</v>
      </c>
      <c r="T85" s="58">
        <v>90</v>
      </c>
      <c r="U85" s="58">
        <v>90</v>
      </c>
      <c r="V85" s="58">
        <v>90</v>
      </c>
      <c r="W85" s="55">
        <f t="shared" si="25"/>
        <v>360</v>
      </c>
    </row>
    <row r="86" spans="17:23" ht="28.8" x14ac:dyDescent="0.3">
      <c r="Q86" s="61" t="s">
        <v>154</v>
      </c>
      <c r="R86" s="5" t="s">
        <v>29</v>
      </c>
      <c r="S86" s="58">
        <v>28.125</v>
      </c>
      <c r="T86" s="58">
        <v>28.125</v>
      </c>
      <c r="U86" s="58">
        <v>28.125</v>
      </c>
      <c r="V86" s="58">
        <v>28.125</v>
      </c>
      <c r="W86" s="55">
        <f t="shared" si="25"/>
        <v>112.5</v>
      </c>
    </row>
    <row r="87" spans="17:23" ht="28.8" x14ac:dyDescent="0.3">
      <c r="Q87" s="61" t="s">
        <v>155</v>
      </c>
      <c r="R87" s="5" t="s">
        <v>36</v>
      </c>
      <c r="S87" s="58">
        <v>250</v>
      </c>
      <c r="T87" s="58">
        <v>250</v>
      </c>
      <c r="U87" s="58">
        <v>250</v>
      </c>
      <c r="V87" s="58">
        <v>250</v>
      </c>
      <c r="W87" s="55">
        <f t="shared" si="25"/>
        <v>1000</v>
      </c>
    </row>
    <row r="88" spans="17:23" ht="28.8" x14ac:dyDescent="0.3">
      <c r="Q88" s="61" t="s">
        <v>156</v>
      </c>
      <c r="R88" s="5" t="s">
        <v>37</v>
      </c>
      <c r="S88" s="58">
        <v>150</v>
      </c>
      <c r="T88" s="58">
        <v>150</v>
      </c>
      <c r="U88" s="58">
        <v>150</v>
      </c>
      <c r="V88" s="58">
        <v>150</v>
      </c>
      <c r="W88" s="55">
        <f t="shared" si="25"/>
        <v>600</v>
      </c>
    </row>
    <row r="89" spans="17:23" x14ac:dyDescent="0.3">
      <c r="Q89" s="61" t="s">
        <v>157</v>
      </c>
      <c r="R89" s="5" t="s">
        <v>44</v>
      </c>
      <c r="S89" s="58">
        <v>150</v>
      </c>
      <c r="T89" s="58">
        <v>150</v>
      </c>
      <c r="U89" s="58">
        <v>150</v>
      </c>
      <c r="V89" s="58">
        <v>150</v>
      </c>
      <c r="W89" s="55">
        <f t="shared" si="25"/>
        <v>600</v>
      </c>
    </row>
    <row r="90" spans="17:23" ht="28.8" x14ac:dyDescent="0.3">
      <c r="Q90" s="61" t="s">
        <v>158</v>
      </c>
      <c r="R90" s="5" t="s">
        <v>30</v>
      </c>
      <c r="S90" s="58">
        <v>165</v>
      </c>
      <c r="T90" s="58">
        <v>165</v>
      </c>
      <c r="U90" s="58">
        <v>165</v>
      </c>
      <c r="V90" s="58">
        <v>165</v>
      </c>
      <c r="W90" s="55">
        <f t="shared" si="25"/>
        <v>660</v>
      </c>
    </row>
    <row r="91" spans="17:23" x14ac:dyDescent="0.3">
      <c r="Q91" s="61" t="s">
        <v>159</v>
      </c>
      <c r="R91" s="9" t="s">
        <v>24</v>
      </c>
      <c r="S91" s="58">
        <v>24</v>
      </c>
      <c r="T91" s="58">
        <v>24</v>
      </c>
      <c r="U91" s="58">
        <v>24</v>
      </c>
      <c r="V91" s="58">
        <v>24</v>
      </c>
      <c r="W91" s="55">
        <f t="shared" si="25"/>
        <v>96</v>
      </c>
    </row>
    <row r="92" spans="17:23" ht="28.8" x14ac:dyDescent="0.3">
      <c r="Q92" s="61" t="s">
        <v>160</v>
      </c>
      <c r="R92" s="9" t="s">
        <v>38</v>
      </c>
      <c r="S92" s="58">
        <v>105</v>
      </c>
      <c r="T92" s="58">
        <v>105</v>
      </c>
      <c r="U92" s="58">
        <v>105</v>
      </c>
      <c r="V92" s="58">
        <v>105</v>
      </c>
      <c r="W92" s="55">
        <f t="shared" si="25"/>
        <v>420</v>
      </c>
    </row>
    <row r="93" spans="17:23" x14ac:dyDescent="0.3">
      <c r="Q93" s="61" t="s">
        <v>171</v>
      </c>
      <c r="R93" s="5" t="s">
        <v>39</v>
      </c>
      <c r="S93" s="58">
        <v>188.1</v>
      </c>
      <c r="T93" s="58">
        <v>188.1</v>
      </c>
      <c r="U93" s="58">
        <v>188.1</v>
      </c>
      <c r="V93" s="58">
        <v>188.1</v>
      </c>
      <c r="W93" s="55">
        <f t="shared" si="25"/>
        <v>752.4</v>
      </c>
    </row>
    <row r="94" spans="17:23" x14ac:dyDescent="0.3">
      <c r="Q94" s="59" t="s">
        <v>173</v>
      </c>
      <c r="R94" s="54" t="s">
        <v>174</v>
      </c>
      <c r="S94" s="60">
        <f>SUM(S95:S106)</f>
        <v>538.75</v>
      </c>
      <c r="T94" s="60">
        <f>SUM(T95:T106)</f>
        <v>538.75</v>
      </c>
      <c r="U94" s="60">
        <f>SUM(U95:U106)</f>
        <v>538.75</v>
      </c>
      <c r="V94" s="60">
        <f>SUM(V95:V106)</f>
        <v>538.75</v>
      </c>
      <c r="W94" s="55">
        <f t="shared" ref="W94:W100" si="26">SUM(S94:V94)</f>
        <v>2155</v>
      </c>
    </row>
    <row r="95" spans="17:23" x14ac:dyDescent="0.3">
      <c r="Q95" s="61" t="s">
        <v>150</v>
      </c>
      <c r="R95" s="20" t="s">
        <v>53</v>
      </c>
      <c r="S95" s="58">
        <f>110/4</f>
        <v>27.5</v>
      </c>
      <c r="T95" s="58">
        <f t="shared" ref="T95:V95" si="27">110/4</f>
        <v>27.5</v>
      </c>
      <c r="U95" s="58">
        <f t="shared" si="27"/>
        <v>27.5</v>
      </c>
      <c r="V95" s="58">
        <f t="shared" si="27"/>
        <v>27.5</v>
      </c>
      <c r="W95" s="55">
        <f t="shared" si="26"/>
        <v>110</v>
      </c>
    </row>
    <row r="96" spans="17:23" x14ac:dyDescent="0.3">
      <c r="Q96" s="61" t="s">
        <v>151</v>
      </c>
      <c r="R96" s="20" t="s">
        <v>54</v>
      </c>
      <c r="S96" s="58">
        <f>450/4</f>
        <v>112.5</v>
      </c>
      <c r="T96" s="58">
        <f t="shared" ref="T96:V96" si="28">450/4</f>
        <v>112.5</v>
      </c>
      <c r="U96" s="58">
        <f t="shared" si="28"/>
        <v>112.5</v>
      </c>
      <c r="V96" s="58">
        <f t="shared" si="28"/>
        <v>112.5</v>
      </c>
      <c r="W96" s="55">
        <f t="shared" si="26"/>
        <v>450</v>
      </c>
    </row>
    <row r="97" spans="17:23" x14ac:dyDescent="0.3">
      <c r="Q97" s="61" t="s">
        <v>152</v>
      </c>
      <c r="R97" s="23" t="s">
        <v>55</v>
      </c>
      <c r="S97" s="58">
        <f>200/4</f>
        <v>50</v>
      </c>
      <c r="T97" s="58">
        <f t="shared" ref="T97:V97" si="29">200/4</f>
        <v>50</v>
      </c>
      <c r="U97" s="58">
        <f t="shared" si="29"/>
        <v>50</v>
      </c>
      <c r="V97" s="58">
        <f t="shared" si="29"/>
        <v>50</v>
      </c>
      <c r="W97" s="55">
        <f t="shared" si="26"/>
        <v>200</v>
      </c>
    </row>
    <row r="98" spans="17:23" x14ac:dyDescent="0.3">
      <c r="Q98" s="61" t="s">
        <v>153</v>
      </c>
      <c r="R98" s="5" t="s">
        <v>67</v>
      </c>
      <c r="S98" s="58">
        <f>120/4</f>
        <v>30</v>
      </c>
      <c r="T98" s="58">
        <f t="shared" ref="T98:V98" si="30">120/4</f>
        <v>30</v>
      </c>
      <c r="U98" s="58">
        <f t="shared" si="30"/>
        <v>30</v>
      </c>
      <c r="V98" s="58">
        <f t="shared" si="30"/>
        <v>30</v>
      </c>
      <c r="W98" s="55">
        <f t="shared" si="26"/>
        <v>120</v>
      </c>
    </row>
    <row r="99" spans="17:23" x14ac:dyDescent="0.3">
      <c r="Q99" s="61" t="s">
        <v>154</v>
      </c>
      <c r="R99" s="20" t="s">
        <v>58</v>
      </c>
      <c r="S99" s="58">
        <f>85/4</f>
        <v>21.25</v>
      </c>
      <c r="T99" s="58">
        <f t="shared" ref="T99:V99" si="31">85/4</f>
        <v>21.25</v>
      </c>
      <c r="U99" s="58">
        <f t="shared" si="31"/>
        <v>21.25</v>
      </c>
      <c r="V99" s="58">
        <f t="shared" si="31"/>
        <v>21.25</v>
      </c>
      <c r="W99" s="55">
        <f t="shared" si="26"/>
        <v>85</v>
      </c>
    </row>
    <row r="100" spans="17:23" x14ac:dyDescent="0.3">
      <c r="Q100" s="61" t="s">
        <v>155</v>
      </c>
      <c r="R100" s="20" t="s">
        <v>59</v>
      </c>
      <c r="S100" s="58">
        <f>95/4</f>
        <v>23.75</v>
      </c>
      <c r="T100" s="58">
        <f t="shared" ref="T100:V100" si="32">95/4</f>
        <v>23.75</v>
      </c>
      <c r="U100" s="58">
        <f t="shared" si="32"/>
        <v>23.75</v>
      </c>
      <c r="V100" s="58">
        <f t="shared" si="32"/>
        <v>23.75</v>
      </c>
      <c r="W100" s="55">
        <f t="shared" si="26"/>
        <v>95</v>
      </c>
    </row>
    <row r="101" spans="17:23" ht="28.8" x14ac:dyDescent="0.3">
      <c r="Q101" s="61" t="s">
        <v>156</v>
      </c>
      <c r="R101" s="5" t="s">
        <v>60</v>
      </c>
      <c r="S101" s="58">
        <f>160/4</f>
        <v>40</v>
      </c>
      <c r="T101" s="58">
        <f t="shared" ref="T101:V101" si="33">160/4</f>
        <v>40</v>
      </c>
      <c r="U101" s="58">
        <f t="shared" si="33"/>
        <v>40</v>
      </c>
      <c r="V101" s="58">
        <f t="shared" si="33"/>
        <v>40</v>
      </c>
      <c r="W101" s="55">
        <f>SUM(S101:V101)</f>
        <v>160</v>
      </c>
    </row>
    <row r="102" spans="17:23" x14ac:dyDescent="0.3">
      <c r="Q102" s="61" t="s">
        <v>157</v>
      </c>
      <c r="R102" s="20" t="s">
        <v>61</v>
      </c>
      <c r="S102" s="58">
        <f>80/4</f>
        <v>20</v>
      </c>
      <c r="T102" s="58">
        <f t="shared" ref="T102:V102" si="34">80/4</f>
        <v>20</v>
      </c>
      <c r="U102" s="58">
        <f t="shared" si="34"/>
        <v>20</v>
      </c>
      <c r="V102" s="58">
        <f t="shared" si="34"/>
        <v>20</v>
      </c>
      <c r="W102" s="55">
        <f>SUM(S102:V102)</f>
        <v>80</v>
      </c>
    </row>
    <row r="103" spans="17:23" x14ac:dyDescent="0.3">
      <c r="Q103" s="61" t="s">
        <v>158</v>
      </c>
      <c r="R103" s="20" t="s">
        <v>62</v>
      </c>
      <c r="S103" s="58">
        <f>70/4</f>
        <v>17.5</v>
      </c>
      <c r="T103" s="58">
        <f t="shared" ref="T103:V103" si="35">70/4</f>
        <v>17.5</v>
      </c>
      <c r="U103" s="58">
        <f t="shared" si="35"/>
        <v>17.5</v>
      </c>
      <c r="V103" s="58">
        <f t="shared" si="35"/>
        <v>17.5</v>
      </c>
      <c r="W103" s="55">
        <f>SUM(S103:V103)</f>
        <v>70</v>
      </c>
    </row>
    <row r="104" spans="17:23" x14ac:dyDescent="0.3">
      <c r="Q104" s="61" t="s">
        <v>159</v>
      </c>
      <c r="R104" s="20" t="s">
        <v>49</v>
      </c>
      <c r="S104" s="58">
        <f>45/4</f>
        <v>11.25</v>
      </c>
      <c r="T104" s="58">
        <f t="shared" ref="T104:V104" si="36">45/4</f>
        <v>11.25</v>
      </c>
      <c r="U104" s="58">
        <f t="shared" si="36"/>
        <v>11.25</v>
      </c>
      <c r="V104" s="58">
        <f t="shared" si="36"/>
        <v>11.25</v>
      </c>
      <c r="W104" s="55">
        <f>SUM(S104:V104)</f>
        <v>45</v>
      </c>
    </row>
    <row r="105" spans="17:23" ht="28.8" x14ac:dyDescent="0.3">
      <c r="Q105" s="61" t="s">
        <v>160</v>
      </c>
      <c r="R105" s="5" t="s">
        <v>63</v>
      </c>
      <c r="S105" s="58">
        <f>190/4</f>
        <v>47.5</v>
      </c>
      <c r="T105" s="58">
        <f t="shared" ref="T105:V105" si="37">190/4</f>
        <v>47.5</v>
      </c>
      <c r="U105" s="58">
        <f t="shared" si="37"/>
        <v>47.5</v>
      </c>
      <c r="V105" s="58">
        <f t="shared" si="37"/>
        <v>47.5</v>
      </c>
      <c r="W105" s="55">
        <f>SUM(S105:V105)</f>
        <v>190</v>
      </c>
    </row>
    <row r="106" spans="17:23" x14ac:dyDescent="0.3">
      <c r="Q106" s="61" t="s">
        <v>171</v>
      </c>
      <c r="R106" s="20" t="s">
        <v>50</v>
      </c>
      <c r="S106" s="58">
        <f>550/4</f>
        <v>137.5</v>
      </c>
      <c r="T106" s="58">
        <f t="shared" ref="T106:V106" si="38">550/4</f>
        <v>137.5</v>
      </c>
      <c r="U106" s="58">
        <f t="shared" si="38"/>
        <v>137.5</v>
      </c>
      <c r="V106" s="58">
        <f t="shared" si="38"/>
        <v>137.5</v>
      </c>
      <c r="W106" s="55">
        <f>SUM(S106:V106)</f>
        <v>550</v>
      </c>
    </row>
    <row r="107" spans="17:23" x14ac:dyDescent="0.3">
      <c r="Q107" s="59" t="s">
        <v>161</v>
      </c>
      <c r="R107" s="54" t="s">
        <v>162</v>
      </c>
      <c r="S107" s="55">
        <f>S78-S80</f>
        <v>1147.5250000000001</v>
      </c>
      <c r="T107" s="55">
        <f>T78-T80</f>
        <v>-952.47499999999991</v>
      </c>
      <c r="U107" s="55">
        <f>U78-U80</f>
        <v>-32.474999999999909</v>
      </c>
      <c r="V107" s="55">
        <f>V78-V80</f>
        <v>4195.5249999999996</v>
      </c>
      <c r="W107" s="55">
        <f>W78-W80</f>
        <v>4358.1000000000004</v>
      </c>
    </row>
    <row r="108" spans="17:23" x14ac:dyDescent="0.3">
      <c r="Q108" s="59" t="s">
        <v>163</v>
      </c>
      <c r="R108" s="54" t="s">
        <v>164</v>
      </c>
      <c r="S108" s="55">
        <f>S107</f>
        <v>1147.5250000000001</v>
      </c>
      <c r="T108" s="55">
        <f>S108+T107</f>
        <v>195.05000000000018</v>
      </c>
      <c r="U108" s="55">
        <f t="shared" ref="U108" si="39">T108+U107</f>
        <v>162.57500000000027</v>
      </c>
      <c r="V108" s="55">
        <f>U108+V107</f>
        <v>4358.1000000000004</v>
      </c>
      <c r="W108" s="55" t="s">
        <v>165</v>
      </c>
    </row>
  </sheetData>
  <mergeCells count="16">
    <mergeCell ref="Q76:Q77"/>
    <mergeCell ref="R76:R77"/>
    <mergeCell ref="S76:V76"/>
    <mergeCell ref="W76:W77"/>
    <mergeCell ref="S3:V3"/>
    <mergeCell ref="W3:W4"/>
    <mergeCell ref="Q40:Q41"/>
    <mergeCell ref="R40:R41"/>
    <mergeCell ref="S40:V40"/>
    <mergeCell ref="W40:W41"/>
    <mergeCell ref="A2:A3"/>
    <mergeCell ref="B2:B3"/>
    <mergeCell ref="C2:N2"/>
    <mergeCell ref="O2:O3"/>
    <mergeCell ref="Q3:Q4"/>
    <mergeCell ref="R3:R4"/>
  </mergeCells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13E4B-64D8-4527-B9BC-2D87BE2F50ED}">
  <dimension ref="A1:I116"/>
  <sheetViews>
    <sheetView zoomScale="55" zoomScaleNormal="55" workbookViewId="0">
      <selection activeCell="U22" sqref="U22"/>
    </sheetView>
  </sheetViews>
  <sheetFormatPr defaultRowHeight="14.4" x14ac:dyDescent="0.3"/>
  <cols>
    <col min="1" max="1" width="23.5546875" customWidth="1"/>
    <col min="2" max="5" width="12.77734375" customWidth="1"/>
    <col min="7" max="7" width="4.88671875" customWidth="1"/>
    <col min="8" max="8" width="32.6640625" customWidth="1"/>
    <col min="9" max="9" width="11.5546875" customWidth="1"/>
  </cols>
  <sheetData>
    <row r="1" spans="1:9" x14ac:dyDescent="0.3">
      <c r="A1" s="67" t="s">
        <v>177</v>
      </c>
      <c r="B1" s="67" t="s">
        <v>178</v>
      </c>
      <c r="C1" s="67" t="s">
        <v>179</v>
      </c>
      <c r="D1" s="67" t="s">
        <v>180</v>
      </c>
      <c r="E1" s="67" t="s">
        <v>181</v>
      </c>
      <c r="F1" s="45"/>
      <c r="G1" s="67" t="s">
        <v>0</v>
      </c>
      <c r="H1" s="67" t="s">
        <v>130</v>
      </c>
      <c r="I1" s="67" t="s">
        <v>196</v>
      </c>
    </row>
    <row r="2" spans="1:9" ht="28.8" x14ac:dyDescent="0.3">
      <c r="A2" s="67" t="s">
        <v>182</v>
      </c>
      <c r="B2" s="63">
        <v>0</v>
      </c>
      <c r="C2" s="63">
        <v>8700</v>
      </c>
      <c r="D2" s="63">
        <v>9710</v>
      </c>
      <c r="E2" s="63">
        <v>13448</v>
      </c>
      <c r="F2" s="45"/>
      <c r="G2" s="68">
        <v>1</v>
      </c>
      <c r="H2" s="67" t="s">
        <v>186</v>
      </c>
      <c r="I2" s="65">
        <v>30</v>
      </c>
    </row>
    <row r="3" spans="1:9" x14ac:dyDescent="0.3">
      <c r="A3" s="67" t="s">
        <v>183</v>
      </c>
      <c r="B3" s="63">
        <v>1916.21</v>
      </c>
      <c r="C3" s="63">
        <v>5609.25</v>
      </c>
      <c r="D3" s="63">
        <v>6690.9</v>
      </c>
      <c r="E3" s="63">
        <v>9098.9</v>
      </c>
      <c r="F3" s="45"/>
      <c r="G3" s="68">
        <v>2</v>
      </c>
      <c r="H3" s="67" t="s">
        <v>187</v>
      </c>
      <c r="I3" s="65"/>
    </row>
    <row r="4" spans="1:9" ht="28.8" x14ac:dyDescent="0.3">
      <c r="A4" s="67" t="s">
        <v>184</v>
      </c>
      <c r="B4" s="63">
        <f>B2-B3</f>
        <v>-1916.21</v>
      </c>
      <c r="C4" s="63">
        <f>C2-C3</f>
        <v>3090.75</v>
      </c>
      <c r="D4" s="63">
        <f t="shared" ref="D4:E4" si="0">D2-D3</f>
        <v>3019.1000000000004</v>
      </c>
      <c r="E4" s="63">
        <f t="shared" si="0"/>
        <v>4349.1000000000004</v>
      </c>
      <c r="F4" s="45"/>
      <c r="G4" s="68">
        <v>3</v>
      </c>
      <c r="H4" s="67" t="s">
        <v>188</v>
      </c>
      <c r="I4" s="65">
        <v>2.5</v>
      </c>
    </row>
    <row r="5" spans="1:9" ht="28.8" x14ac:dyDescent="0.3">
      <c r="A5" s="67" t="s">
        <v>197</v>
      </c>
      <c r="B5" s="63">
        <v>0</v>
      </c>
      <c r="C5" s="63">
        <f>C2*0.03</f>
        <v>261</v>
      </c>
      <c r="D5" s="63">
        <f>D2*0.03</f>
        <v>291.3</v>
      </c>
      <c r="E5" s="63">
        <f>E2*0.03</f>
        <v>403.44</v>
      </c>
      <c r="F5" s="45"/>
      <c r="G5" s="68">
        <v>4</v>
      </c>
      <c r="H5" s="67" t="s">
        <v>189</v>
      </c>
      <c r="I5" s="65">
        <v>3.6</v>
      </c>
    </row>
    <row r="6" spans="1:9" x14ac:dyDescent="0.3">
      <c r="A6" s="67" t="s">
        <v>185</v>
      </c>
      <c r="B6" s="63">
        <f>B4-B5</f>
        <v>-1916.21</v>
      </c>
      <c r="C6" s="63">
        <f t="shared" ref="C6:D6" si="1">C4-C5</f>
        <v>2829.75</v>
      </c>
      <c r="D6" s="63">
        <f t="shared" si="1"/>
        <v>2727.8</v>
      </c>
      <c r="E6" s="63">
        <f>E4-E5</f>
        <v>3945.6600000000003</v>
      </c>
      <c r="F6" s="45"/>
      <c r="G6" s="68">
        <v>5</v>
      </c>
      <c r="H6" s="67" t="s">
        <v>190</v>
      </c>
      <c r="I6" s="65">
        <v>523.48800000000006</v>
      </c>
    </row>
    <row r="7" spans="1:9" x14ac:dyDescent="0.3">
      <c r="A7" s="66"/>
      <c r="B7" s="45"/>
      <c r="C7" s="45"/>
      <c r="D7" s="45"/>
      <c r="E7" s="45"/>
      <c r="F7" s="45"/>
      <c r="G7" s="68">
        <v>6</v>
      </c>
      <c r="H7" s="67" t="s">
        <v>191</v>
      </c>
      <c r="I7" s="65">
        <v>1.23</v>
      </c>
    </row>
    <row r="8" spans="1:9" x14ac:dyDescent="0.3">
      <c r="A8" s="45"/>
      <c r="B8" s="45"/>
      <c r="C8" s="45"/>
      <c r="D8" s="45"/>
      <c r="E8" s="45"/>
      <c r="F8" s="45"/>
      <c r="G8" s="68">
        <v>7</v>
      </c>
      <c r="H8" s="67" t="s">
        <v>192</v>
      </c>
      <c r="I8" s="65">
        <v>63.23</v>
      </c>
    </row>
    <row r="9" spans="1:9" x14ac:dyDescent="0.3">
      <c r="A9" s="45"/>
      <c r="B9" s="45"/>
      <c r="C9" s="45"/>
      <c r="D9" s="45"/>
      <c r="E9" s="45"/>
      <c r="F9" s="45"/>
      <c r="G9" s="68">
        <v>8</v>
      </c>
      <c r="H9" s="67" t="s">
        <v>193</v>
      </c>
      <c r="I9" s="65">
        <v>37</v>
      </c>
    </row>
    <row r="10" spans="1:9" x14ac:dyDescent="0.3">
      <c r="A10" s="45"/>
      <c r="B10" s="45"/>
      <c r="C10" s="45"/>
      <c r="D10" s="45"/>
      <c r="E10" s="45"/>
      <c r="F10" s="45"/>
      <c r="G10" s="68">
        <v>9</v>
      </c>
      <c r="H10" s="67" t="s">
        <v>194</v>
      </c>
      <c r="I10" s="65">
        <v>3255.66</v>
      </c>
    </row>
    <row r="11" spans="1:9" x14ac:dyDescent="0.3">
      <c r="A11" s="45"/>
      <c r="B11" s="45"/>
      <c r="C11" s="45"/>
      <c r="D11" s="45"/>
      <c r="E11" s="45"/>
      <c r="F11" s="45"/>
      <c r="G11" s="68">
        <v>10</v>
      </c>
      <c r="H11" s="67" t="s">
        <v>195</v>
      </c>
      <c r="I11" s="65">
        <f>(SUM(B6:E6)-2300)/2300*100</f>
        <v>229.86956521739131</v>
      </c>
    </row>
    <row r="12" spans="1:9" x14ac:dyDescent="0.3">
      <c r="A12" s="45"/>
      <c r="B12" s="45"/>
      <c r="C12" s="45"/>
      <c r="D12" s="45"/>
      <c r="E12" s="45"/>
      <c r="F12" s="45"/>
      <c r="G12" s="92"/>
      <c r="H12" s="93"/>
      <c r="I12" s="94"/>
    </row>
    <row r="13" spans="1:9" x14ac:dyDescent="0.3">
      <c r="A13" s="45"/>
      <c r="B13" s="45"/>
      <c r="C13" s="45"/>
      <c r="D13" s="45"/>
      <c r="E13" s="45"/>
      <c r="F13" s="45"/>
      <c r="G13" s="92"/>
      <c r="H13" s="93"/>
      <c r="I13" s="94"/>
    </row>
    <row r="14" spans="1:9" x14ac:dyDescent="0.3">
      <c r="A14" s="45"/>
      <c r="B14" s="45"/>
      <c r="C14" s="45"/>
      <c r="D14" s="45"/>
      <c r="E14" s="45"/>
      <c r="F14" s="45"/>
      <c r="G14" s="92"/>
      <c r="H14" s="93"/>
      <c r="I14" s="94"/>
    </row>
    <row r="15" spans="1:9" x14ac:dyDescent="0.3">
      <c r="A15" s="45"/>
      <c r="B15" s="45"/>
      <c r="C15" s="45"/>
      <c r="D15" s="45"/>
      <c r="E15" s="45"/>
      <c r="F15" s="45"/>
      <c r="G15" s="92"/>
      <c r="H15" s="93"/>
      <c r="I15" s="94"/>
    </row>
    <row r="16" spans="1:9" x14ac:dyDescent="0.3">
      <c r="A16" s="45"/>
      <c r="B16" s="45"/>
      <c r="C16" s="45"/>
      <c r="D16" s="45"/>
      <c r="E16" s="45"/>
      <c r="F16" s="45"/>
      <c r="G16" s="92"/>
      <c r="H16" s="93"/>
      <c r="I16" s="94"/>
    </row>
    <row r="17" spans="1:9" x14ac:dyDescent="0.3">
      <c r="A17" s="45"/>
      <c r="B17" s="45"/>
      <c r="C17" s="45"/>
      <c r="D17" s="45"/>
      <c r="E17" s="45"/>
      <c r="F17" s="45"/>
      <c r="G17" s="92"/>
      <c r="H17" s="93"/>
      <c r="I17" s="94"/>
    </row>
    <row r="18" spans="1:9" x14ac:dyDescent="0.3">
      <c r="A18" s="45"/>
      <c r="B18" s="45"/>
      <c r="C18" s="45"/>
      <c r="D18" s="45"/>
      <c r="E18" s="45"/>
      <c r="F18" s="45"/>
      <c r="G18" s="92"/>
      <c r="H18" s="93"/>
      <c r="I18" s="94"/>
    </row>
    <row r="19" spans="1:9" x14ac:dyDescent="0.3">
      <c r="A19" s="45"/>
      <c r="B19" s="45"/>
      <c r="C19" s="45"/>
      <c r="D19" s="45"/>
      <c r="E19" s="45"/>
      <c r="F19" s="45"/>
      <c r="G19" s="92"/>
      <c r="H19" s="93"/>
      <c r="I19" s="94"/>
    </row>
    <row r="20" spans="1:9" x14ac:dyDescent="0.3">
      <c r="A20" s="45"/>
      <c r="B20" s="45"/>
      <c r="C20" s="45"/>
      <c r="D20" s="45"/>
      <c r="E20" s="45"/>
      <c r="F20" s="45"/>
      <c r="G20" s="92"/>
      <c r="H20" s="93"/>
      <c r="I20" s="94"/>
    </row>
    <row r="21" spans="1:9" x14ac:dyDescent="0.3">
      <c r="A21" s="45"/>
      <c r="B21" s="45"/>
      <c r="C21" s="45"/>
      <c r="D21" s="45"/>
      <c r="E21" s="45"/>
      <c r="F21" s="45"/>
      <c r="G21" s="92"/>
      <c r="H21" s="93"/>
      <c r="I21" s="94"/>
    </row>
    <row r="22" spans="1:9" x14ac:dyDescent="0.3">
      <c r="A22" s="45"/>
      <c r="B22" s="45"/>
      <c r="C22" s="45"/>
      <c r="D22" s="45"/>
      <c r="E22" s="45"/>
      <c r="F22" s="45"/>
      <c r="G22" s="92"/>
      <c r="H22" s="93"/>
      <c r="I22" s="94"/>
    </row>
    <row r="23" spans="1:9" x14ac:dyDescent="0.3">
      <c r="A23" s="45"/>
      <c r="B23" s="45"/>
      <c r="C23" s="45"/>
      <c r="D23" s="45"/>
      <c r="E23" s="45"/>
      <c r="F23" s="45"/>
      <c r="G23" s="92"/>
      <c r="I23" s="94"/>
    </row>
    <row r="24" spans="1:9" x14ac:dyDescent="0.3">
      <c r="A24" s="45"/>
      <c r="B24" s="45"/>
      <c r="C24" s="45"/>
      <c r="D24" s="45"/>
      <c r="E24" s="45"/>
      <c r="F24" s="45"/>
      <c r="G24" s="92"/>
      <c r="H24" s="93"/>
      <c r="I24" s="94"/>
    </row>
    <row r="25" spans="1:9" x14ac:dyDescent="0.3">
      <c r="A25" s="45"/>
      <c r="B25" s="45"/>
      <c r="C25" s="45"/>
      <c r="D25" s="45"/>
      <c r="E25" s="45"/>
      <c r="F25" s="45"/>
      <c r="G25" s="92"/>
      <c r="H25" s="93"/>
      <c r="I25" s="94"/>
    </row>
    <row r="26" spans="1:9" x14ac:dyDescent="0.3">
      <c r="A26" s="45"/>
      <c r="B26" s="45"/>
      <c r="C26" s="45"/>
      <c r="D26" s="45"/>
      <c r="E26" s="45"/>
      <c r="F26" s="45"/>
      <c r="G26" s="92"/>
      <c r="H26" s="93"/>
      <c r="I26" s="94"/>
    </row>
    <row r="27" spans="1:9" x14ac:dyDescent="0.3">
      <c r="A27" s="45"/>
      <c r="B27" s="45"/>
      <c r="C27" s="45"/>
      <c r="D27" s="45"/>
      <c r="E27" s="45"/>
      <c r="F27" s="45"/>
      <c r="G27" s="92"/>
      <c r="H27" s="93"/>
      <c r="I27" s="94"/>
    </row>
    <row r="28" spans="1:9" x14ac:dyDescent="0.3">
      <c r="A28" s="45"/>
      <c r="B28" s="45"/>
      <c r="C28" s="45"/>
      <c r="D28" s="45"/>
      <c r="E28" s="45"/>
      <c r="F28" s="45"/>
      <c r="G28" s="92"/>
      <c r="H28" s="93"/>
      <c r="I28" s="94"/>
    </row>
    <row r="29" spans="1:9" x14ac:dyDescent="0.3">
      <c r="A29" s="45"/>
      <c r="B29" s="45"/>
      <c r="C29" s="45"/>
      <c r="D29" s="45"/>
      <c r="E29" s="45"/>
      <c r="F29" s="45"/>
      <c r="G29" s="92"/>
      <c r="H29" s="93"/>
      <c r="I29" s="94"/>
    </row>
    <row r="30" spans="1:9" x14ac:dyDescent="0.3">
      <c r="A30" s="45"/>
      <c r="B30" s="45"/>
      <c r="C30" s="45"/>
      <c r="D30" s="45"/>
      <c r="E30" s="45"/>
      <c r="F30" s="45"/>
      <c r="G30" s="92"/>
      <c r="H30" s="93"/>
      <c r="I30" s="94"/>
    </row>
    <row r="31" spans="1:9" x14ac:dyDescent="0.3">
      <c r="A31" s="45"/>
      <c r="B31" s="45"/>
      <c r="C31" s="45"/>
      <c r="D31" s="45"/>
      <c r="E31" s="45"/>
      <c r="F31" s="45"/>
      <c r="G31" s="92"/>
      <c r="H31" s="93"/>
      <c r="I31" s="94"/>
    </row>
    <row r="32" spans="1:9" x14ac:dyDescent="0.3">
      <c r="A32" s="45"/>
      <c r="B32" s="45"/>
      <c r="C32" s="45"/>
      <c r="D32" s="45"/>
      <c r="E32" s="45"/>
      <c r="F32" s="45"/>
      <c r="G32" s="92"/>
      <c r="H32" s="93"/>
      <c r="I32" s="94"/>
    </row>
    <row r="33" spans="1:9" x14ac:dyDescent="0.3">
      <c r="A33" s="45"/>
      <c r="B33" s="45"/>
      <c r="C33" s="45"/>
      <c r="D33" s="45"/>
      <c r="E33" s="45"/>
      <c r="F33" s="45"/>
      <c r="G33" s="92"/>
      <c r="H33" s="93"/>
      <c r="I33" s="94"/>
    </row>
    <row r="34" spans="1:9" x14ac:dyDescent="0.3">
      <c r="A34" s="45"/>
      <c r="B34" s="45"/>
      <c r="C34" s="45"/>
      <c r="D34" s="45"/>
      <c r="E34" s="45"/>
      <c r="F34" s="45"/>
      <c r="G34" s="92"/>
      <c r="H34" s="93"/>
      <c r="I34" s="94"/>
    </row>
    <row r="35" spans="1:9" x14ac:dyDescent="0.3">
      <c r="A35" s="45"/>
      <c r="B35" s="45"/>
      <c r="C35" s="45"/>
      <c r="D35" s="45"/>
      <c r="E35" s="45"/>
      <c r="F35" s="45"/>
      <c r="G35" s="92"/>
      <c r="H35" s="93"/>
      <c r="I35" s="94"/>
    </row>
    <row r="36" spans="1:9" x14ac:dyDescent="0.3">
      <c r="A36" s="45"/>
      <c r="B36" s="45"/>
      <c r="C36" s="45"/>
      <c r="D36" s="45"/>
      <c r="E36" s="45"/>
      <c r="F36" s="45"/>
      <c r="G36" s="92"/>
      <c r="H36" s="93"/>
      <c r="I36" s="94"/>
    </row>
    <row r="37" spans="1:9" x14ac:dyDescent="0.3">
      <c r="A37" s="45"/>
      <c r="B37" s="45"/>
      <c r="C37" s="45"/>
      <c r="D37" s="45"/>
      <c r="E37" s="45"/>
      <c r="F37" s="45"/>
      <c r="G37" s="92"/>
      <c r="H37" s="93"/>
      <c r="I37" s="94"/>
    </row>
    <row r="38" spans="1:9" x14ac:dyDescent="0.3">
      <c r="A38" s="45"/>
      <c r="B38" s="45"/>
      <c r="C38" s="45"/>
      <c r="D38" s="45"/>
      <c r="E38" s="45"/>
      <c r="F38" s="45"/>
      <c r="G38" s="92"/>
      <c r="H38" s="93"/>
      <c r="I38" s="94"/>
    </row>
    <row r="39" spans="1:9" x14ac:dyDescent="0.3">
      <c r="A39" s="45"/>
      <c r="B39" s="45"/>
      <c r="C39" s="45"/>
      <c r="D39" s="45"/>
      <c r="E39" s="45"/>
      <c r="F39" s="45"/>
      <c r="G39" s="92"/>
      <c r="H39" s="93"/>
      <c r="I39" s="94"/>
    </row>
    <row r="40" spans="1:9" x14ac:dyDescent="0.3">
      <c r="A40" s="45"/>
      <c r="B40" s="45"/>
      <c r="C40" s="45"/>
      <c r="D40" s="45"/>
      <c r="E40" s="45"/>
      <c r="F40" s="45"/>
      <c r="G40" s="92"/>
      <c r="H40" s="93"/>
      <c r="I40" s="94"/>
    </row>
    <row r="41" spans="1:9" x14ac:dyDescent="0.3">
      <c r="A41" s="45"/>
      <c r="B41" s="45"/>
      <c r="C41" s="45"/>
      <c r="D41" s="45"/>
      <c r="E41" s="45"/>
      <c r="F41" s="45"/>
      <c r="G41" s="92"/>
      <c r="H41" s="93"/>
      <c r="I41" s="94"/>
    </row>
    <row r="42" spans="1:9" x14ac:dyDescent="0.3">
      <c r="A42" s="45"/>
      <c r="B42" s="45"/>
      <c r="C42" s="45"/>
      <c r="D42" s="45"/>
      <c r="E42" s="45"/>
      <c r="F42" s="45"/>
      <c r="G42" s="92"/>
      <c r="H42" s="93"/>
      <c r="I42" s="94"/>
    </row>
    <row r="43" spans="1:9" x14ac:dyDescent="0.3">
      <c r="A43" s="45"/>
      <c r="B43" s="45"/>
      <c r="C43" s="45"/>
      <c r="D43" s="45"/>
      <c r="E43" s="45"/>
      <c r="F43" s="45"/>
      <c r="G43" s="92"/>
      <c r="H43" s="93"/>
      <c r="I43" s="94"/>
    </row>
    <row r="44" spans="1:9" x14ac:dyDescent="0.3">
      <c r="A44" s="45"/>
      <c r="B44" s="45"/>
      <c r="C44" s="45"/>
      <c r="D44" s="45"/>
      <c r="E44" s="45"/>
      <c r="F44" s="45"/>
      <c r="G44" s="92"/>
      <c r="H44" s="93"/>
      <c r="I44" s="94"/>
    </row>
    <row r="45" spans="1:9" x14ac:dyDescent="0.3">
      <c r="A45" s="45"/>
      <c r="B45" s="45"/>
      <c r="C45" s="45"/>
      <c r="D45" s="45"/>
      <c r="E45" s="45"/>
      <c r="F45" s="45"/>
      <c r="G45" s="92"/>
      <c r="H45" s="93"/>
      <c r="I45" s="94"/>
    </row>
    <row r="46" spans="1:9" x14ac:dyDescent="0.3">
      <c r="A46" s="45"/>
      <c r="B46" s="45"/>
      <c r="C46" s="45"/>
      <c r="D46" s="45"/>
      <c r="E46" s="45"/>
      <c r="F46" s="45"/>
      <c r="G46" s="92"/>
      <c r="H46" s="93"/>
      <c r="I46" s="94"/>
    </row>
    <row r="47" spans="1:9" x14ac:dyDescent="0.3">
      <c r="A47" s="45"/>
      <c r="B47" s="45"/>
      <c r="C47" s="45"/>
      <c r="D47" s="45"/>
      <c r="E47" s="45"/>
      <c r="F47" s="45"/>
      <c r="G47" s="92"/>
      <c r="H47" s="93"/>
      <c r="I47" s="94"/>
    </row>
    <row r="48" spans="1:9" x14ac:dyDescent="0.3">
      <c r="A48" s="45"/>
      <c r="B48" s="45"/>
      <c r="C48" s="45"/>
      <c r="D48" s="45"/>
      <c r="E48" s="45"/>
      <c r="F48" s="45"/>
      <c r="G48" s="92"/>
      <c r="H48" s="93"/>
      <c r="I48" s="94"/>
    </row>
    <row r="49" spans="1:9" x14ac:dyDescent="0.3">
      <c r="A49" s="45"/>
      <c r="B49" s="45"/>
      <c r="C49" s="45"/>
      <c r="D49" s="45"/>
      <c r="E49" s="45"/>
      <c r="F49" s="45"/>
      <c r="G49" s="92"/>
      <c r="H49" s="93"/>
      <c r="I49" s="94"/>
    </row>
    <row r="50" spans="1:9" x14ac:dyDescent="0.3">
      <c r="A50" s="45"/>
      <c r="B50" s="45"/>
      <c r="C50" s="45"/>
      <c r="D50" s="45"/>
      <c r="E50" s="45"/>
      <c r="F50" s="45"/>
      <c r="G50" s="92"/>
      <c r="H50" s="93"/>
      <c r="I50" s="94"/>
    </row>
    <row r="51" spans="1:9" x14ac:dyDescent="0.3">
      <c r="A51" s="45"/>
      <c r="B51" s="45"/>
      <c r="C51" s="45"/>
      <c r="D51" s="45"/>
      <c r="E51" s="45"/>
      <c r="F51" s="45"/>
      <c r="G51" s="92"/>
      <c r="H51" s="93"/>
      <c r="I51" s="94"/>
    </row>
    <row r="52" spans="1:9" x14ac:dyDescent="0.3">
      <c r="A52" s="45"/>
      <c r="B52" s="45"/>
      <c r="C52" s="45"/>
      <c r="D52" s="45"/>
      <c r="E52" s="45"/>
      <c r="F52" s="45"/>
      <c r="G52" s="92"/>
      <c r="H52" s="93"/>
      <c r="I52" s="94"/>
    </row>
    <row r="53" spans="1:9" x14ac:dyDescent="0.3">
      <c r="A53" s="45"/>
      <c r="B53" s="45"/>
      <c r="C53" s="45"/>
      <c r="D53" s="45"/>
      <c r="E53" s="45"/>
      <c r="F53" s="45"/>
      <c r="G53" s="92"/>
      <c r="H53" s="93"/>
      <c r="I53" s="94"/>
    </row>
    <row r="54" spans="1:9" x14ac:dyDescent="0.3">
      <c r="A54" s="45"/>
      <c r="B54" s="45"/>
      <c r="C54" s="45"/>
      <c r="D54" s="45"/>
      <c r="E54" s="45"/>
      <c r="F54" s="45"/>
      <c r="G54" s="92"/>
      <c r="H54" s="93"/>
      <c r="I54" s="94"/>
    </row>
    <row r="55" spans="1:9" x14ac:dyDescent="0.3">
      <c r="A55" s="45"/>
      <c r="B55" s="45"/>
      <c r="C55" s="45"/>
      <c r="D55" s="45"/>
      <c r="E55" s="45"/>
      <c r="F55" s="45"/>
      <c r="G55" s="92"/>
      <c r="H55" s="93"/>
      <c r="I55" s="94"/>
    </row>
    <row r="56" spans="1:9" x14ac:dyDescent="0.3">
      <c r="A56" s="45"/>
      <c r="B56" s="45"/>
      <c r="C56" s="45"/>
      <c r="D56" s="45"/>
      <c r="E56" s="45"/>
      <c r="F56" s="45"/>
      <c r="G56" s="92"/>
      <c r="H56" s="93"/>
      <c r="I56" s="94"/>
    </row>
    <row r="57" spans="1:9" x14ac:dyDescent="0.3">
      <c r="A57" s="45"/>
      <c r="B57" s="45"/>
      <c r="C57" s="45"/>
      <c r="D57" s="45"/>
      <c r="E57" s="45"/>
      <c r="F57" s="45"/>
      <c r="G57" s="92"/>
      <c r="H57" s="93"/>
      <c r="I57" s="94"/>
    </row>
    <row r="58" spans="1:9" x14ac:dyDescent="0.3">
      <c r="A58" s="45"/>
      <c r="B58" s="45"/>
      <c r="C58" s="45"/>
      <c r="D58" s="45"/>
      <c r="E58" s="45"/>
      <c r="F58" s="45"/>
      <c r="G58" s="92"/>
      <c r="H58" s="93"/>
      <c r="I58" s="94"/>
    </row>
    <row r="59" spans="1:9" x14ac:dyDescent="0.3">
      <c r="A59" s="45"/>
      <c r="B59" s="45"/>
      <c r="C59" s="45"/>
      <c r="D59" s="45"/>
      <c r="E59" s="45"/>
      <c r="F59" s="45"/>
      <c r="G59" s="92"/>
      <c r="H59" s="93"/>
      <c r="I59" s="94"/>
    </row>
    <row r="60" spans="1:9" x14ac:dyDescent="0.3">
      <c r="A60" s="45"/>
      <c r="B60" s="45"/>
      <c r="C60" s="45"/>
      <c r="D60" s="45"/>
      <c r="E60" s="45"/>
      <c r="F60" s="45"/>
      <c r="G60" s="92"/>
      <c r="H60" s="93"/>
      <c r="I60" s="94"/>
    </row>
    <row r="61" spans="1:9" x14ac:dyDescent="0.3">
      <c r="A61" s="45"/>
      <c r="B61" s="45"/>
      <c r="C61" s="45"/>
      <c r="D61" s="45"/>
      <c r="E61" s="45"/>
      <c r="F61" s="45"/>
      <c r="G61" s="92"/>
      <c r="H61" s="93"/>
      <c r="I61" s="94"/>
    </row>
    <row r="62" spans="1:9" x14ac:dyDescent="0.3">
      <c r="A62" s="45"/>
      <c r="B62" s="45"/>
      <c r="C62" s="45"/>
      <c r="D62" s="45"/>
      <c r="E62" s="45"/>
      <c r="F62" s="45"/>
      <c r="G62" s="92"/>
      <c r="H62" s="93"/>
      <c r="I62" s="94"/>
    </row>
    <row r="63" spans="1:9" x14ac:dyDescent="0.3">
      <c r="A63" s="45"/>
      <c r="B63" s="45"/>
      <c r="C63" s="45"/>
      <c r="D63" s="45"/>
      <c r="E63" s="45"/>
      <c r="F63" s="45"/>
      <c r="G63" s="92"/>
      <c r="H63" s="93"/>
      <c r="I63" s="94"/>
    </row>
    <row r="64" spans="1:9" x14ac:dyDescent="0.3">
      <c r="A64" s="45"/>
      <c r="B64" s="45"/>
      <c r="C64" s="45"/>
      <c r="D64" s="45"/>
      <c r="E64" s="45"/>
      <c r="F64" s="45"/>
      <c r="G64" s="92"/>
      <c r="H64" s="93"/>
      <c r="I64" s="94"/>
    </row>
    <row r="65" spans="1:9" x14ac:dyDescent="0.3">
      <c r="A65" s="45"/>
      <c r="B65" s="45"/>
      <c r="C65" s="45"/>
      <c r="D65" s="45"/>
      <c r="E65" s="45"/>
      <c r="F65" s="45"/>
      <c r="G65" s="92"/>
      <c r="H65" s="93"/>
      <c r="I65" s="94"/>
    </row>
    <row r="66" spans="1:9" x14ac:dyDescent="0.3">
      <c r="A66" s="45"/>
      <c r="B66" s="45"/>
      <c r="C66" s="45"/>
      <c r="D66" s="45"/>
      <c r="E66" s="45"/>
      <c r="F66" s="45"/>
      <c r="G66" s="92"/>
      <c r="H66" s="93"/>
      <c r="I66" s="94"/>
    </row>
    <row r="67" spans="1:9" x14ac:dyDescent="0.3">
      <c r="A67" s="45"/>
      <c r="B67" s="45"/>
      <c r="C67" s="45"/>
      <c r="D67" s="45"/>
      <c r="E67" s="45"/>
      <c r="F67" s="45"/>
      <c r="G67" s="92"/>
      <c r="H67" s="93"/>
      <c r="I67" s="94"/>
    </row>
    <row r="68" spans="1:9" x14ac:dyDescent="0.3">
      <c r="A68" s="45"/>
      <c r="B68" s="45"/>
      <c r="C68" s="45"/>
      <c r="D68" s="45"/>
      <c r="E68" s="45"/>
      <c r="F68" s="45"/>
      <c r="G68" s="92"/>
      <c r="H68" s="93"/>
      <c r="I68" s="94"/>
    </row>
    <row r="69" spans="1:9" x14ac:dyDescent="0.3">
      <c r="A69" s="45"/>
      <c r="B69" s="45"/>
      <c r="C69" s="45"/>
      <c r="D69" s="45"/>
      <c r="E69" s="45"/>
      <c r="F69" s="45"/>
      <c r="G69" s="92"/>
      <c r="H69" s="93"/>
      <c r="I69" s="94"/>
    </row>
    <row r="70" spans="1:9" x14ac:dyDescent="0.3">
      <c r="A70" s="45"/>
      <c r="B70" s="45"/>
      <c r="C70" s="45"/>
      <c r="D70" s="45"/>
      <c r="E70" s="45"/>
      <c r="F70" s="45"/>
      <c r="G70" s="92"/>
      <c r="H70" s="93"/>
      <c r="I70" s="94"/>
    </row>
    <row r="71" spans="1:9" x14ac:dyDescent="0.3">
      <c r="A71" s="45"/>
      <c r="B71" s="45"/>
      <c r="C71" s="45"/>
      <c r="D71" s="45"/>
      <c r="E71" s="45"/>
      <c r="F71" s="45"/>
      <c r="G71" s="92"/>
      <c r="H71" s="93"/>
      <c r="I71" s="94"/>
    </row>
    <row r="72" spans="1:9" x14ac:dyDescent="0.3">
      <c r="A72" s="45"/>
      <c r="B72" s="45"/>
      <c r="C72" s="45"/>
      <c r="D72" s="45"/>
      <c r="E72" s="45"/>
      <c r="F72" s="45"/>
      <c r="G72" s="92"/>
      <c r="H72" s="93"/>
      <c r="I72" s="94"/>
    </row>
    <row r="73" spans="1:9" x14ac:dyDescent="0.3">
      <c r="A73" s="45"/>
      <c r="B73" s="45"/>
      <c r="C73" s="45"/>
      <c r="D73" s="45"/>
      <c r="E73" s="45"/>
      <c r="F73" s="45"/>
      <c r="G73" s="92"/>
      <c r="H73" s="93"/>
      <c r="I73" s="94"/>
    </row>
    <row r="74" spans="1:9" x14ac:dyDescent="0.3">
      <c r="A74" s="45"/>
      <c r="B74" s="45"/>
      <c r="C74" s="45"/>
      <c r="D74" s="45"/>
      <c r="E74" s="45"/>
      <c r="F74" s="45"/>
      <c r="G74" s="92"/>
      <c r="H74" s="93"/>
      <c r="I74" s="94"/>
    </row>
    <row r="75" spans="1:9" x14ac:dyDescent="0.3">
      <c r="A75" s="45"/>
      <c r="B75" s="45"/>
      <c r="C75" s="45"/>
      <c r="D75" s="45"/>
      <c r="E75" s="45"/>
      <c r="F75" s="45"/>
      <c r="G75" s="92"/>
      <c r="H75" s="93"/>
      <c r="I75" s="94"/>
    </row>
    <row r="76" spans="1:9" x14ac:dyDescent="0.3">
      <c r="A76" s="45"/>
      <c r="B76" s="45"/>
      <c r="C76" s="45"/>
      <c r="D76" s="45"/>
      <c r="E76" s="45"/>
      <c r="F76" s="45"/>
      <c r="G76" s="92"/>
      <c r="H76" s="93"/>
      <c r="I76" s="94"/>
    </row>
    <row r="77" spans="1:9" x14ac:dyDescent="0.3">
      <c r="A77" s="45"/>
      <c r="B77" s="45"/>
      <c r="C77" s="45"/>
      <c r="D77" s="45"/>
      <c r="E77" s="45"/>
      <c r="F77" s="45"/>
      <c r="G77" s="92"/>
      <c r="H77" s="93"/>
      <c r="I77" s="94"/>
    </row>
    <row r="78" spans="1:9" x14ac:dyDescent="0.3">
      <c r="A78" s="45"/>
      <c r="B78" s="45"/>
      <c r="C78" s="45"/>
      <c r="D78" s="45"/>
      <c r="E78" s="45"/>
      <c r="F78" s="45"/>
      <c r="G78" s="92"/>
      <c r="H78" s="93"/>
      <c r="I78" s="94"/>
    </row>
    <row r="86" spans="1:7" x14ac:dyDescent="0.3">
      <c r="A86" s="45" t="s">
        <v>198</v>
      </c>
      <c r="B86" s="66"/>
      <c r="C86" s="66"/>
      <c r="D86" s="66"/>
      <c r="E86" s="66"/>
      <c r="F86" s="45"/>
      <c r="G86" s="45"/>
    </row>
    <row r="87" spans="1:7" x14ac:dyDescent="0.3">
      <c r="A87" s="45"/>
      <c r="B87" s="66"/>
      <c r="C87" s="66"/>
      <c r="D87" s="66"/>
      <c r="E87" s="66"/>
      <c r="F87" s="45"/>
      <c r="G87" s="45"/>
    </row>
    <row r="88" spans="1:7" x14ac:dyDescent="0.3">
      <c r="A88" s="45"/>
      <c r="B88" s="71" t="s">
        <v>199</v>
      </c>
      <c r="C88" s="71"/>
      <c r="D88" s="71"/>
      <c r="E88" s="71"/>
      <c r="F88" s="71"/>
      <c r="G88" s="45"/>
    </row>
    <row r="89" spans="1:7" x14ac:dyDescent="0.3">
      <c r="A89" s="45"/>
      <c r="B89" s="63">
        <f>B6</f>
        <v>-1916.21</v>
      </c>
      <c r="C89" s="63">
        <f t="shared" ref="C89:E89" si="2">C6</f>
        <v>2829.75</v>
      </c>
      <c r="D89" s="63">
        <f t="shared" si="2"/>
        <v>2727.8</v>
      </c>
      <c r="E89" s="63">
        <f t="shared" si="2"/>
        <v>3945.6600000000003</v>
      </c>
      <c r="F89" s="45"/>
    </row>
    <row r="90" spans="1:7" x14ac:dyDescent="0.3">
      <c r="A90" s="45"/>
      <c r="B90" s="51">
        <v>1</v>
      </c>
      <c r="C90" s="51">
        <v>2</v>
      </c>
      <c r="D90" s="51">
        <v>3</v>
      </c>
      <c r="E90" s="51">
        <v>4</v>
      </c>
      <c r="F90" s="45"/>
      <c r="G90" s="70">
        <f>SUM(B92:E92)</f>
        <v>2823.4880186267983</v>
      </c>
    </row>
    <row r="91" spans="1:7" x14ac:dyDescent="0.3">
      <c r="A91" s="45"/>
      <c r="B91" s="72">
        <v>1.3</v>
      </c>
      <c r="C91" s="72">
        <v>1.3</v>
      </c>
      <c r="D91" s="51">
        <v>1.3</v>
      </c>
      <c r="E91" s="51">
        <v>1.3</v>
      </c>
      <c r="F91" s="45"/>
      <c r="G91" s="70">
        <f>G90-2300</f>
        <v>523.48801862679829</v>
      </c>
    </row>
    <row r="92" spans="1:7" x14ac:dyDescent="0.3">
      <c r="A92" s="45"/>
      <c r="B92" s="61">
        <f>B89/(B91^B90)</f>
        <v>-1474.0076923076922</v>
      </c>
      <c r="C92" s="51">
        <f t="shared" ref="C92" si="3">C89/(C91^C90)</f>
        <v>1674.4082840236686</v>
      </c>
      <c r="D92" s="51">
        <f>D89/(D91^D90)</f>
        <v>1241.6021847974509</v>
      </c>
      <c r="E92" s="51">
        <f>E89/(E91^E90)</f>
        <v>1381.4852421133712</v>
      </c>
      <c r="F92" s="45"/>
    </row>
    <row r="93" spans="1:7" x14ac:dyDescent="0.3">
      <c r="A93" s="45"/>
      <c r="B93" s="61"/>
      <c r="C93" s="51"/>
      <c r="D93" s="51"/>
      <c r="E93" s="51"/>
      <c r="F93" s="45"/>
    </row>
    <row r="94" spans="1:7" x14ac:dyDescent="0.3">
      <c r="A94" s="45"/>
      <c r="B94" s="74"/>
      <c r="C94" s="74"/>
      <c r="D94" s="74"/>
      <c r="E94" s="74"/>
      <c r="F94" s="74"/>
      <c r="G94" s="74"/>
    </row>
    <row r="95" spans="1:7" x14ac:dyDescent="0.3">
      <c r="A95" s="45"/>
      <c r="B95" s="73" t="s">
        <v>200</v>
      </c>
      <c r="C95" s="73"/>
      <c r="D95" s="73"/>
      <c r="E95" s="73"/>
      <c r="F95" s="73"/>
      <c r="G95" s="45"/>
    </row>
    <row r="96" spans="1:7" x14ac:dyDescent="0.3">
      <c r="A96" s="45"/>
      <c r="B96" s="75" t="s">
        <v>201</v>
      </c>
      <c r="C96" s="76" t="s">
        <v>202</v>
      </c>
      <c r="D96" s="76"/>
      <c r="E96" s="76" t="s">
        <v>203</v>
      </c>
      <c r="F96" s="76"/>
      <c r="G96" s="77"/>
    </row>
    <row r="97" spans="1:7" x14ac:dyDescent="0.3">
      <c r="A97" s="45"/>
      <c r="B97" s="64">
        <v>1</v>
      </c>
      <c r="C97" s="78">
        <f>-2300+B89</f>
        <v>-4216.21</v>
      </c>
      <c r="D97" s="79"/>
      <c r="E97" s="80">
        <f>B92</f>
        <v>-1474.0076923076922</v>
      </c>
      <c r="F97" s="81">
        <f>-2300+E97</f>
        <v>-3774.0076923076922</v>
      </c>
      <c r="G97" s="45"/>
    </row>
    <row r="98" spans="1:7" x14ac:dyDescent="0.3">
      <c r="A98" s="45"/>
      <c r="B98" s="64">
        <v>2</v>
      </c>
      <c r="C98" s="82">
        <f>C97+C89</f>
        <v>-1386.46</v>
      </c>
      <c r="D98" s="83"/>
      <c r="E98" s="84">
        <f>C92</f>
        <v>1674.4082840236686</v>
      </c>
      <c r="F98" s="81">
        <f>F97+E98</f>
        <v>-2099.5994082840234</v>
      </c>
      <c r="G98" s="45"/>
    </row>
    <row r="99" spans="1:7" x14ac:dyDescent="0.3">
      <c r="A99" s="45"/>
      <c r="B99" s="64">
        <v>3</v>
      </c>
      <c r="C99" s="82">
        <f>C98+D89</f>
        <v>1341.3400000000001</v>
      </c>
      <c r="D99" s="83"/>
      <c r="E99" s="84">
        <f>D92</f>
        <v>1241.6021847974509</v>
      </c>
      <c r="F99" s="81">
        <f>F98+E99</f>
        <v>-857.99722348657247</v>
      </c>
      <c r="G99" s="45"/>
    </row>
    <row r="100" spans="1:7" x14ac:dyDescent="0.3">
      <c r="A100" s="45"/>
      <c r="B100" s="64">
        <v>4</v>
      </c>
      <c r="C100" s="82"/>
      <c r="D100" s="83"/>
      <c r="E100" s="84">
        <f>E92</f>
        <v>1381.4852421133712</v>
      </c>
      <c r="F100" s="81">
        <f>F99+E100</f>
        <v>523.48801862679875</v>
      </c>
      <c r="G100" s="45"/>
    </row>
    <row r="101" spans="1:7" x14ac:dyDescent="0.3">
      <c r="A101" s="45"/>
      <c r="B101" s="66"/>
      <c r="C101" s="45"/>
      <c r="D101" s="45"/>
      <c r="E101" s="45"/>
      <c r="F101" s="45"/>
      <c r="G101" s="45"/>
    </row>
    <row r="102" spans="1:7" x14ac:dyDescent="0.3">
      <c r="A102" s="45"/>
      <c r="B102" s="66" t="s">
        <v>204</v>
      </c>
      <c r="C102" s="85">
        <f>2+((C99/D89))</f>
        <v>2.4917295989442043</v>
      </c>
      <c r="D102" s="66"/>
      <c r="E102" s="85">
        <f>3+(-(F99/E92))</f>
        <v>3.6210686855937917</v>
      </c>
      <c r="F102" s="45"/>
      <c r="G102" s="45"/>
    </row>
    <row r="103" spans="1:7" x14ac:dyDescent="0.3">
      <c r="A103" s="45"/>
      <c r="B103" s="73" t="s">
        <v>191</v>
      </c>
      <c r="C103" s="73"/>
      <c r="D103" s="73"/>
      <c r="E103" s="73"/>
      <c r="F103" s="73"/>
      <c r="G103" s="45"/>
    </row>
    <row r="104" spans="1:7" x14ac:dyDescent="0.3">
      <c r="A104" s="45"/>
      <c r="B104" s="45" t="s">
        <v>205</v>
      </c>
      <c r="C104" s="66" t="s">
        <v>206</v>
      </c>
      <c r="D104" s="66"/>
      <c r="E104" s="66"/>
      <c r="F104" s="45"/>
      <c r="G104" s="45"/>
    </row>
    <row r="105" spans="1:7" x14ac:dyDescent="0.3">
      <c r="A105" s="45"/>
      <c r="B105" s="86">
        <f>SUM(B92:E92)</f>
        <v>2823.4880186267983</v>
      </c>
      <c r="C105" s="87">
        <f>B105/2300</f>
        <v>1.2276034863594776</v>
      </c>
      <c r="D105" s="66"/>
      <c r="E105" s="66"/>
      <c r="F105" s="45"/>
      <c r="G105" s="45"/>
    </row>
    <row r="106" spans="1:7" x14ac:dyDescent="0.3">
      <c r="A106" s="45"/>
      <c r="B106" s="66"/>
      <c r="C106" s="66"/>
      <c r="D106" s="66"/>
      <c r="E106" s="66"/>
      <c r="F106" s="45"/>
      <c r="G106" s="45"/>
    </row>
    <row r="107" spans="1:7" x14ac:dyDescent="0.3">
      <c r="A107" s="45"/>
      <c r="B107" s="45" t="s">
        <v>192</v>
      </c>
      <c r="C107" s="66"/>
      <c r="D107" s="66"/>
      <c r="E107" s="66"/>
      <c r="F107" s="45"/>
      <c r="G107" s="45"/>
    </row>
    <row r="108" spans="1:7" ht="28.8" x14ac:dyDescent="0.3">
      <c r="A108" s="45"/>
      <c r="B108" s="88" t="s">
        <v>207</v>
      </c>
      <c r="C108" s="89">
        <f>SUM(B6:E6)/4</f>
        <v>1896.75</v>
      </c>
      <c r="D108" s="66"/>
      <c r="E108" s="66"/>
      <c r="F108" s="45"/>
      <c r="G108" s="45"/>
    </row>
    <row r="109" spans="1:7" x14ac:dyDescent="0.3">
      <c r="A109" s="45"/>
      <c r="B109" s="45" t="s">
        <v>192</v>
      </c>
      <c r="C109" s="87">
        <f>C108/3000*100</f>
        <v>63.224999999999994</v>
      </c>
      <c r="D109" s="87"/>
      <c r="E109" s="66"/>
      <c r="F109" s="45"/>
      <c r="G109" s="45"/>
    </row>
    <row r="110" spans="1:7" x14ac:dyDescent="0.3">
      <c r="A110" s="45"/>
      <c r="B110" s="66"/>
      <c r="C110" s="66"/>
      <c r="D110" s="66"/>
      <c r="E110" s="66"/>
      <c r="F110" s="45"/>
      <c r="G110" s="45"/>
    </row>
    <row r="111" spans="1:7" x14ac:dyDescent="0.3">
      <c r="A111" s="45"/>
      <c r="B111" s="90" t="s">
        <v>193</v>
      </c>
      <c r="C111" s="66"/>
      <c r="D111" s="66"/>
      <c r="E111" s="66"/>
      <c r="F111" s="45"/>
      <c r="G111" s="45"/>
    </row>
    <row r="112" spans="1:7" x14ac:dyDescent="0.3">
      <c r="A112" s="45"/>
      <c r="B112" s="91">
        <f>IRR(B113:F113)</f>
        <v>0.36850819622364339</v>
      </c>
      <c r="C112" s="66"/>
      <c r="D112" s="66"/>
      <c r="E112" s="66"/>
      <c r="F112" s="45"/>
      <c r="G112" s="45"/>
    </row>
    <row r="113" spans="1:7" x14ac:dyDescent="0.3">
      <c r="A113" s="45"/>
      <c r="B113" s="66">
        <v>-2300</v>
      </c>
      <c r="C113" s="87">
        <f>B89</f>
        <v>-1916.21</v>
      </c>
      <c r="D113" s="87">
        <f>C89</f>
        <v>2829.75</v>
      </c>
      <c r="E113" s="87">
        <f>D89</f>
        <v>2727.8</v>
      </c>
      <c r="F113" s="87">
        <f>E89</f>
        <v>3945.6600000000003</v>
      </c>
      <c r="G113" s="45"/>
    </row>
    <row r="114" spans="1:7" x14ac:dyDescent="0.3">
      <c r="A114" s="45"/>
      <c r="B114" s="74"/>
      <c r="C114" s="74"/>
      <c r="D114" s="74"/>
      <c r="E114" s="74"/>
      <c r="F114" s="74"/>
      <c r="G114" s="74"/>
    </row>
    <row r="115" spans="1:7" x14ac:dyDescent="0.3">
      <c r="A115" s="45"/>
      <c r="B115" s="90" t="s">
        <v>194</v>
      </c>
      <c r="C115" s="66"/>
      <c r="D115" s="66"/>
      <c r="E115" s="66"/>
      <c r="F115" s="45"/>
      <c r="G115" s="45"/>
    </row>
    <row r="116" spans="1:7" x14ac:dyDescent="0.3">
      <c r="A116" s="45"/>
      <c r="B116" s="87">
        <f>E89-2300*0.3</f>
        <v>3255.6600000000003</v>
      </c>
      <c r="C116" s="66"/>
      <c r="D116" s="66"/>
      <c r="E116" s="66"/>
      <c r="F116" s="45"/>
      <c r="G116" s="45"/>
    </row>
  </sheetData>
  <mergeCells count="9">
    <mergeCell ref="C98:D98"/>
    <mergeCell ref="C99:D99"/>
    <mergeCell ref="C100:D100"/>
    <mergeCell ref="B103:F103"/>
    <mergeCell ref="B88:F88"/>
    <mergeCell ref="B95:F95"/>
    <mergeCell ref="C96:D96"/>
    <mergeCell ref="E96:F96"/>
    <mergeCell ref="C97:D9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18F7D-CDF0-4E53-815B-F4ED2B9B864B}">
  <dimension ref="F1:Y10"/>
  <sheetViews>
    <sheetView tabSelected="1" zoomScale="40" zoomScaleNormal="40" workbookViewId="0">
      <selection activeCell="T5" sqref="T5:Y10"/>
    </sheetView>
  </sheetViews>
  <sheetFormatPr defaultRowHeight="14.4" x14ac:dyDescent="0.3"/>
  <cols>
    <col min="1" max="5" width="8.88671875" customWidth="1"/>
    <col min="20" max="25" width="30.77734375" customWidth="1"/>
    <col min="26" max="29" width="20.77734375" customWidth="1"/>
  </cols>
  <sheetData>
    <row r="1" spans="6:25" x14ac:dyDescent="0.3">
      <c r="F1" s="1" t="s">
        <v>208</v>
      </c>
    </row>
    <row r="2" spans="6:25" x14ac:dyDescent="0.3">
      <c r="G2" s="69" t="s">
        <v>209</v>
      </c>
    </row>
    <row r="3" spans="6:25" x14ac:dyDescent="0.3">
      <c r="V3" s="95" t="s">
        <v>210</v>
      </c>
      <c r="W3" s="95"/>
    </row>
    <row r="5" spans="6:25" x14ac:dyDescent="0.3">
      <c r="T5" s="96" t="s">
        <v>246</v>
      </c>
      <c r="U5" s="96" t="s">
        <v>211</v>
      </c>
      <c r="V5" s="96" t="s">
        <v>212</v>
      </c>
      <c r="W5" s="96" t="s">
        <v>213</v>
      </c>
      <c r="X5" s="96" t="s">
        <v>214</v>
      </c>
      <c r="Y5" s="96" t="s">
        <v>215</v>
      </c>
    </row>
    <row r="6" spans="6:25" ht="110.4" x14ac:dyDescent="0.3">
      <c r="T6" s="97" t="s">
        <v>216</v>
      </c>
      <c r="U6" s="98" t="s">
        <v>221</v>
      </c>
      <c r="V6" s="98" t="s">
        <v>222</v>
      </c>
      <c r="W6" s="98" t="s">
        <v>223</v>
      </c>
      <c r="X6" s="98" t="s">
        <v>224</v>
      </c>
      <c r="Y6" s="98" t="s">
        <v>225</v>
      </c>
    </row>
    <row r="7" spans="6:25" ht="96.6" x14ac:dyDescent="0.3">
      <c r="T7" s="97" t="s">
        <v>217</v>
      </c>
      <c r="U7" s="98" t="s">
        <v>226</v>
      </c>
      <c r="V7" s="98" t="s">
        <v>227</v>
      </c>
      <c r="W7" s="98" t="s">
        <v>228</v>
      </c>
      <c r="X7" s="98" t="s">
        <v>229</v>
      </c>
      <c r="Y7" s="98" t="s">
        <v>230</v>
      </c>
    </row>
    <row r="8" spans="6:25" ht="96.6" x14ac:dyDescent="0.3">
      <c r="T8" s="97" t="s">
        <v>218</v>
      </c>
      <c r="U8" s="98" t="s">
        <v>231</v>
      </c>
      <c r="V8" s="98" t="s">
        <v>232</v>
      </c>
      <c r="W8" s="98" t="s">
        <v>233</v>
      </c>
      <c r="X8" s="98" t="s">
        <v>234</v>
      </c>
      <c r="Y8" s="98" t="s">
        <v>235</v>
      </c>
    </row>
    <row r="9" spans="6:25" ht="179.4" x14ac:dyDescent="0.3">
      <c r="T9" s="97" t="s">
        <v>219</v>
      </c>
      <c r="U9" s="98" t="s">
        <v>236</v>
      </c>
      <c r="V9" s="98" t="s">
        <v>242</v>
      </c>
      <c r="W9" s="98" t="s">
        <v>237</v>
      </c>
      <c r="X9" s="98" t="s">
        <v>238</v>
      </c>
      <c r="Y9" s="98" t="s">
        <v>245</v>
      </c>
    </row>
    <row r="10" spans="6:25" ht="124.2" x14ac:dyDescent="0.3">
      <c r="T10" s="97" t="s">
        <v>220</v>
      </c>
      <c r="U10" s="98" t="s">
        <v>239</v>
      </c>
      <c r="V10" s="98" t="s">
        <v>243</v>
      </c>
      <c r="W10" s="98" t="s">
        <v>240</v>
      </c>
      <c r="X10" s="98" t="s">
        <v>241</v>
      </c>
      <c r="Y10" s="98" t="s">
        <v>244</v>
      </c>
    </row>
  </sheetData>
  <mergeCells count="1">
    <mergeCell ref="V3:W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Затраты</vt:lpstr>
      <vt:lpstr>Прогнозы продаж</vt:lpstr>
      <vt:lpstr>Финансовый план</vt:lpstr>
      <vt:lpstr>Показатели эффективности</vt:lpstr>
      <vt:lpstr>Точка безубыточности и риски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2025-12-02T21:45:00Z</dcterms:created>
  <dcterms:modified xsi:type="dcterms:W3CDTF">2025-12-03T02:45:39Z</dcterms:modified>
</cp:coreProperties>
</file>