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Новая папка\"/>
    </mc:Choice>
  </mc:AlternateContent>
  <xr:revisionPtr revIDLastSave="0" documentId="13_ncr:1_{8953629E-8773-47EC-84E1-ED05BD21FAE1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Финансовая модель " sheetId="1" r:id="rId1"/>
    <sheet name="Инвестиции" sheetId="3" r:id="rId2"/>
    <sheet name="Инвест" sheetId="2" state="hidden" r:id="rId3"/>
  </sheets>
  <calcPr calcId="191029"/>
  <extLst>
    <ext uri="GoogleSheetsCustomDataVersion2">
      <go:sheetsCustomData xmlns:go="http://customooxmlschemas.google.com/" r:id="rId6" roundtripDataChecksum="k771MynV8emqsVQk16wBNAuZ/LtS0884oD3NFNmmE9U="/>
    </ext>
  </extLst>
</workbook>
</file>

<file path=xl/calcChain.xml><?xml version="1.0" encoding="utf-8"?>
<calcChain xmlns="http://schemas.openxmlformats.org/spreadsheetml/2006/main">
  <c r="C21" i="3" l="1"/>
  <c r="C18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D12" i="3"/>
  <c r="D77" i="1"/>
  <c r="E77" i="1"/>
  <c r="E70" i="1" s="1"/>
  <c r="F77" i="1"/>
  <c r="F70" i="1" s="1"/>
  <c r="G77" i="1"/>
  <c r="H77" i="1"/>
  <c r="I77" i="1"/>
  <c r="I70" i="1" s="1"/>
  <c r="J77" i="1"/>
  <c r="K77" i="1"/>
  <c r="L77" i="1"/>
  <c r="M77" i="1"/>
  <c r="M70" i="1" s="1"/>
  <c r="N77" i="1"/>
  <c r="N70" i="1" s="1"/>
  <c r="O77" i="1"/>
  <c r="P77" i="1"/>
  <c r="Q77" i="1"/>
  <c r="Q70" i="1" s="1"/>
  <c r="R77" i="1"/>
  <c r="S77" i="1"/>
  <c r="T77" i="1"/>
  <c r="D10" i="3"/>
  <c r="C10" i="3"/>
  <c r="U10" i="3" s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D83" i="1"/>
  <c r="E83" i="1"/>
  <c r="F83" i="1"/>
  <c r="G83" i="1"/>
  <c r="C83" i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G70" i="1"/>
  <c r="H70" i="1"/>
  <c r="J70" i="1"/>
  <c r="K70" i="1"/>
  <c r="L70" i="1"/>
  <c r="O70" i="1"/>
  <c r="P70" i="1"/>
  <c r="R70" i="1"/>
  <c r="S70" i="1"/>
  <c r="T70" i="1"/>
  <c r="K11" i="1"/>
  <c r="L11" i="1"/>
  <c r="M11" i="1"/>
  <c r="N11" i="1"/>
  <c r="O11" i="1"/>
  <c r="P11" i="1"/>
  <c r="Q11" i="1"/>
  <c r="R11" i="1"/>
  <c r="S11" i="1"/>
  <c r="T11" i="1"/>
  <c r="K8" i="1"/>
  <c r="L8" i="1"/>
  <c r="M8" i="1"/>
  <c r="N8" i="1"/>
  <c r="O8" i="1"/>
  <c r="P8" i="1"/>
  <c r="Q8" i="1"/>
  <c r="R8" i="1"/>
  <c r="S8" i="1"/>
  <c r="T8" i="1"/>
  <c r="K5" i="1"/>
  <c r="L5" i="1"/>
  <c r="M5" i="1"/>
  <c r="N5" i="1"/>
  <c r="O5" i="1"/>
  <c r="P5" i="1"/>
  <c r="Q5" i="1"/>
  <c r="R5" i="1"/>
  <c r="S5" i="1"/>
  <c r="T5" i="1"/>
  <c r="J5" i="1"/>
  <c r="J8" i="1"/>
  <c r="J11" i="1"/>
  <c r="K17" i="1"/>
  <c r="L17" i="1"/>
  <c r="M17" i="1"/>
  <c r="N17" i="1"/>
  <c r="O17" i="1"/>
  <c r="P17" i="1"/>
  <c r="Q17" i="1"/>
  <c r="R17" i="1"/>
  <c r="S17" i="1"/>
  <c r="T17" i="1"/>
  <c r="K20" i="1"/>
  <c r="L20" i="1"/>
  <c r="M20" i="1"/>
  <c r="N20" i="1"/>
  <c r="O20" i="1"/>
  <c r="P20" i="1"/>
  <c r="Q20" i="1"/>
  <c r="R20" i="1"/>
  <c r="S20" i="1"/>
  <c r="T20" i="1"/>
  <c r="J17" i="1"/>
  <c r="J20" i="1"/>
  <c r="L23" i="1"/>
  <c r="M23" i="1"/>
  <c r="N23" i="1"/>
  <c r="K23" i="1"/>
  <c r="P26" i="1"/>
  <c r="Q26" i="1"/>
  <c r="R26" i="1"/>
  <c r="S26" i="1"/>
  <c r="T26" i="1"/>
  <c r="O26" i="1"/>
  <c r="K29" i="1"/>
  <c r="L29" i="1"/>
  <c r="M29" i="1"/>
  <c r="N29" i="1"/>
  <c r="O29" i="1"/>
  <c r="P29" i="1"/>
  <c r="Q29" i="1"/>
  <c r="R29" i="1"/>
  <c r="S29" i="1"/>
  <c r="T29" i="1"/>
  <c r="J29" i="1"/>
  <c r="K35" i="1"/>
  <c r="L35" i="1"/>
  <c r="M35" i="1"/>
  <c r="N35" i="1"/>
  <c r="O35" i="1"/>
  <c r="P35" i="1"/>
  <c r="Q35" i="1"/>
  <c r="R35" i="1"/>
  <c r="S35" i="1"/>
  <c r="T35" i="1"/>
  <c r="J35" i="1"/>
  <c r="K38" i="1"/>
  <c r="L38" i="1"/>
  <c r="M38" i="1"/>
  <c r="N38" i="1"/>
  <c r="O38" i="1"/>
  <c r="P38" i="1"/>
  <c r="Q38" i="1"/>
  <c r="R38" i="1"/>
  <c r="S38" i="1"/>
  <c r="T38" i="1"/>
  <c r="J38" i="1"/>
  <c r="K41" i="1"/>
  <c r="K52" i="1" s="1"/>
  <c r="L41" i="1"/>
  <c r="L52" i="1" s="1"/>
  <c r="M41" i="1"/>
  <c r="M52" i="1" s="1"/>
  <c r="N41" i="1"/>
  <c r="N52" i="1" s="1"/>
  <c r="O41" i="1"/>
  <c r="O52" i="1" s="1"/>
  <c r="P41" i="1"/>
  <c r="P52" i="1" s="1"/>
  <c r="Q41" i="1"/>
  <c r="Q52" i="1" s="1"/>
  <c r="R41" i="1"/>
  <c r="R52" i="1" s="1"/>
  <c r="S41" i="1"/>
  <c r="S52" i="1" s="1"/>
  <c r="T41" i="1"/>
  <c r="T52" i="1" s="1"/>
  <c r="J41" i="1"/>
  <c r="J52" i="1" s="1"/>
  <c r="K32" i="1"/>
  <c r="L32" i="1"/>
  <c r="M32" i="1"/>
  <c r="N32" i="1"/>
  <c r="O32" i="1"/>
  <c r="P32" i="1"/>
  <c r="Q32" i="1"/>
  <c r="R32" i="1"/>
  <c r="S32" i="1"/>
  <c r="T32" i="1"/>
  <c r="J32" i="1"/>
  <c r="C77" i="1"/>
  <c r="J10" i="3"/>
  <c r="K10" i="3"/>
  <c r="L10" i="3"/>
  <c r="M10" i="3"/>
  <c r="N10" i="3"/>
  <c r="O10" i="3"/>
  <c r="P10" i="3"/>
  <c r="Q10" i="3"/>
  <c r="R10" i="3"/>
  <c r="S10" i="3"/>
  <c r="T10" i="3"/>
  <c r="D3" i="3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E10" i="3"/>
  <c r="F10" i="3"/>
  <c r="G10" i="3"/>
  <c r="H10" i="3"/>
  <c r="I10" i="3"/>
  <c r="U82" i="1"/>
  <c r="C2" i="3"/>
  <c r="S61" i="1" l="1"/>
  <c r="T61" i="1"/>
  <c r="P61" i="1"/>
  <c r="Q61" i="1"/>
  <c r="R61" i="1"/>
  <c r="O61" i="1"/>
  <c r="L60" i="1"/>
  <c r="M60" i="1"/>
  <c r="N60" i="1"/>
  <c r="K60" i="1"/>
  <c r="K49" i="1"/>
  <c r="L49" i="1"/>
  <c r="N49" i="1"/>
  <c r="O49" i="1"/>
  <c r="P49" i="1"/>
  <c r="Q49" i="1"/>
  <c r="R49" i="1"/>
  <c r="S49" i="1"/>
  <c r="T49" i="1"/>
  <c r="J49" i="1"/>
  <c r="D49" i="1"/>
  <c r="E49" i="1"/>
  <c r="F49" i="1"/>
  <c r="G49" i="1"/>
  <c r="H49" i="1"/>
  <c r="I49" i="1"/>
  <c r="M49" i="1"/>
  <c r="C49" i="1"/>
  <c r="U41" i="1"/>
  <c r="U38" i="1"/>
  <c r="U35" i="1"/>
  <c r="D4" i="1"/>
  <c r="E4" i="1"/>
  <c r="F4" i="1"/>
  <c r="G4" i="1"/>
  <c r="H4" i="1"/>
  <c r="I4" i="1"/>
  <c r="C4" i="1"/>
  <c r="C4" i="3" l="1"/>
  <c r="G4" i="3"/>
  <c r="D4" i="3"/>
  <c r="H4" i="3"/>
  <c r="F4" i="3"/>
  <c r="E4" i="3"/>
  <c r="F79" i="1"/>
  <c r="I4" i="3"/>
  <c r="I79" i="1"/>
  <c r="E79" i="1"/>
  <c r="G79" i="1"/>
  <c r="C79" i="1"/>
  <c r="H79" i="1"/>
  <c r="D79" i="1"/>
  <c r="S45" i="1"/>
  <c r="S5" i="3" s="1"/>
  <c r="K15" i="1"/>
  <c r="L15" i="1"/>
  <c r="M15" i="1"/>
  <c r="N15" i="1"/>
  <c r="O15" i="1"/>
  <c r="P15" i="1"/>
  <c r="Q15" i="1"/>
  <c r="R15" i="1"/>
  <c r="S15" i="1"/>
  <c r="T15" i="1"/>
  <c r="J15" i="1"/>
  <c r="U5" i="1"/>
  <c r="U8" i="1"/>
  <c r="U17" i="1"/>
  <c r="U20" i="1"/>
  <c r="U32" i="1"/>
  <c r="U29" i="1"/>
  <c r="U26" i="1"/>
  <c r="O4" i="1" l="1"/>
  <c r="O14" i="1"/>
  <c r="M4" i="1"/>
  <c r="M14" i="1"/>
  <c r="T4" i="1"/>
  <c r="T14" i="1"/>
  <c r="L4" i="1"/>
  <c r="L14" i="1"/>
  <c r="Q4" i="1"/>
  <c r="Q14" i="1"/>
  <c r="N4" i="1"/>
  <c r="N14" i="1"/>
  <c r="J14" i="1"/>
  <c r="J4" i="1"/>
  <c r="S4" i="1"/>
  <c r="S14" i="1"/>
  <c r="K4" i="1"/>
  <c r="K14" i="1"/>
  <c r="P4" i="1"/>
  <c r="P14" i="1"/>
  <c r="R4" i="1"/>
  <c r="R14" i="1"/>
  <c r="M79" i="1"/>
  <c r="U23" i="1"/>
  <c r="U11" i="1"/>
  <c r="D65" i="1"/>
  <c r="E65" i="1"/>
  <c r="E53" i="1" s="1"/>
  <c r="F65" i="1"/>
  <c r="F53" i="1" s="1"/>
  <c r="G65" i="1"/>
  <c r="G53" i="1" s="1"/>
  <c r="H65" i="1"/>
  <c r="H53" i="1" s="1"/>
  <c r="I65" i="1"/>
  <c r="I53" i="1" s="1"/>
  <c r="J65" i="1"/>
  <c r="J53" i="1" s="1"/>
  <c r="K65" i="1"/>
  <c r="K53" i="1" s="1"/>
  <c r="L65" i="1"/>
  <c r="L53" i="1" s="1"/>
  <c r="M65" i="1"/>
  <c r="M53" i="1" s="1"/>
  <c r="N65" i="1"/>
  <c r="N53" i="1" s="1"/>
  <c r="O65" i="1"/>
  <c r="O53" i="1" s="1"/>
  <c r="P65" i="1"/>
  <c r="P53" i="1" s="1"/>
  <c r="Q65" i="1"/>
  <c r="Q53" i="1" s="1"/>
  <c r="R65" i="1"/>
  <c r="R53" i="1" s="1"/>
  <c r="S65" i="1"/>
  <c r="S53" i="1" s="1"/>
  <c r="T65" i="1"/>
  <c r="T53" i="1" s="1"/>
  <c r="L79" i="1" l="1"/>
  <c r="O79" i="1"/>
  <c r="S79" i="1"/>
  <c r="S78" i="1"/>
  <c r="J79" i="1"/>
  <c r="K4" i="3"/>
  <c r="R79" i="1"/>
  <c r="T4" i="3"/>
  <c r="Q79" i="1"/>
  <c r="P79" i="1"/>
  <c r="N4" i="3"/>
  <c r="M4" i="3"/>
  <c r="O4" i="3"/>
  <c r="Q4" i="3"/>
  <c r="N79" i="1"/>
  <c r="T79" i="1"/>
  <c r="R4" i="3"/>
  <c r="S4" i="3"/>
  <c r="K79" i="1"/>
  <c r="U14" i="1"/>
  <c r="L4" i="3"/>
  <c r="J4" i="3"/>
  <c r="P4" i="3"/>
  <c r="D1" i="1"/>
  <c r="C14" i="2"/>
  <c r="O8" i="2"/>
  <c r="O7" i="2"/>
  <c r="O6" i="2"/>
  <c r="N9" i="2"/>
  <c r="M9" i="2"/>
  <c r="L9" i="2"/>
  <c r="K9" i="2"/>
  <c r="J9" i="2"/>
  <c r="I9" i="2"/>
  <c r="H9" i="2"/>
  <c r="G9" i="2"/>
  <c r="F9" i="2"/>
  <c r="E9" i="2"/>
  <c r="D9" i="2"/>
  <c r="C65" i="1"/>
  <c r="J3" i="2"/>
  <c r="I3" i="2"/>
  <c r="C3" i="2"/>
  <c r="U4" i="3" l="1"/>
  <c r="E1" i="1"/>
  <c r="D2" i="3"/>
  <c r="L6" i="3"/>
  <c r="R6" i="3"/>
  <c r="N6" i="3"/>
  <c r="K6" i="3"/>
  <c r="O6" i="3"/>
  <c r="J6" i="3"/>
  <c r="M6" i="3"/>
  <c r="K45" i="1"/>
  <c r="U83" i="1"/>
  <c r="G3" i="2"/>
  <c r="C9" i="2"/>
  <c r="O9" i="2" s="1"/>
  <c r="U4" i="1"/>
  <c r="D45" i="1"/>
  <c r="E3" i="2"/>
  <c r="H3" i="2"/>
  <c r="D3" i="2"/>
  <c r="U65" i="1"/>
  <c r="E45" i="1"/>
  <c r="F3" i="2"/>
  <c r="F45" i="1"/>
  <c r="F78" i="1" s="1"/>
  <c r="K3" i="2"/>
  <c r="L3" i="2"/>
  <c r="M3" i="2"/>
  <c r="N3" i="2"/>
  <c r="K5" i="3" l="1"/>
  <c r="K78" i="1"/>
  <c r="E5" i="3"/>
  <c r="E78" i="1"/>
  <c r="E7" i="3" s="1"/>
  <c r="M5" i="2"/>
  <c r="J5" i="2"/>
  <c r="K5" i="2"/>
  <c r="P6" i="3"/>
  <c r="N5" i="2"/>
  <c r="T6" i="3"/>
  <c r="I5" i="2"/>
  <c r="I6" i="3"/>
  <c r="S6" i="3"/>
  <c r="H5" i="2"/>
  <c r="H6" i="3"/>
  <c r="F5" i="2"/>
  <c r="F6" i="3"/>
  <c r="G5" i="2"/>
  <c r="G6" i="3"/>
  <c r="L5" i="2"/>
  <c r="Q6" i="3"/>
  <c r="F7" i="3"/>
  <c r="F5" i="3"/>
  <c r="D5" i="3"/>
  <c r="E5" i="2"/>
  <c r="E6" i="3"/>
  <c r="F1" i="1"/>
  <c r="E2" i="3"/>
  <c r="O3" i="2"/>
  <c r="K7" i="3"/>
  <c r="S44" i="1"/>
  <c r="S3" i="1" s="1"/>
  <c r="S87" i="1" s="1"/>
  <c r="E44" i="1"/>
  <c r="E3" i="1" s="1"/>
  <c r="E87" i="1" s="1"/>
  <c r="F44" i="1"/>
  <c r="F3" i="1" s="1"/>
  <c r="F87" i="1" s="1"/>
  <c r="K44" i="1"/>
  <c r="K3" i="1" s="1"/>
  <c r="K87" i="1" s="1"/>
  <c r="G45" i="1"/>
  <c r="G78" i="1" s="1"/>
  <c r="N45" i="1"/>
  <c r="N78" i="1" s="1"/>
  <c r="Q45" i="1"/>
  <c r="Q78" i="1" s="1"/>
  <c r="M45" i="1"/>
  <c r="M78" i="1" s="1"/>
  <c r="R45" i="1"/>
  <c r="R78" i="1" s="1"/>
  <c r="T45" i="1"/>
  <c r="T78" i="1" s="1"/>
  <c r="L45" i="1"/>
  <c r="J45" i="1"/>
  <c r="J78" i="1" s="1"/>
  <c r="C45" i="1"/>
  <c r="H45" i="1"/>
  <c r="H78" i="1" s="1"/>
  <c r="O45" i="1"/>
  <c r="O78" i="1" s="1"/>
  <c r="I45" i="1"/>
  <c r="U79" i="1"/>
  <c r="P45" i="1"/>
  <c r="P78" i="1" s="1"/>
  <c r="E4" i="2"/>
  <c r="F4" i="2"/>
  <c r="D4" i="2"/>
  <c r="L5" i="3" l="1"/>
  <c r="L78" i="1"/>
  <c r="C5" i="3"/>
  <c r="I5" i="3"/>
  <c r="I78" i="1"/>
  <c r="E10" i="2"/>
  <c r="E11" i="2" s="1"/>
  <c r="F10" i="2"/>
  <c r="F11" i="2" s="1"/>
  <c r="P7" i="3"/>
  <c r="P5" i="3"/>
  <c r="G1" i="1"/>
  <c r="F2" i="3"/>
  <c r="S80" i="1"/>
  <c r="S7" i="3"/>
  <c r="K80" i="1"/>
  <c r="R7" i="3"/>
  <c r="R5" i="3"/>
  <c r="G6" i="2"/>
  <c r="G5" i="3"/>
  <c r="H7" i="3"/>
  <c r="H5" i="3"/>
  <c r="Q7" i="3"/>
  <c r="Q5" i="3"/>
  <c r="T7" i="3"/>
  <c r="T5" i="3"/>
  <c r="N7" i="3"/>
  <c r="N5" i="3"/>
  <c r="O7" i="3"/>
  <c r="O5" i="3"/>
  <c r="J7" i="3"/>
  <c r="J5" i="3"/>
  <c r="M7" i="3"/>
  <c r="M5" i="3"/>
  <c r="L44" i="1"/>
  <c r="L3" i="1" s="1"/>
  <c r="L87" i="1" s="1"/>
  <c r="I44" i="1"/>
  <c r="I3" i="1" s="1"/>
  <c r="I87" i="1" s="1"/>
  <c r="I7" i="3"/>
  <c r="H44" i="1"/>
  <c r="H3" i="1" s="1"/>
  <c r="H87" i="1" s="1"/>
  <c r="C4" i="2"/>
  <c r="J44" i="1"/>
  <c r="J3" i="1" s="1"/>
  <c r="J87" i="1" s="1"/>
  <c r="G44" i="1"/>
  <c r="G3" i="1" s="1"/>
  <c r="G87" i="1" s="1"/>
  <c r="P44" i="1"/>
  <c r="P3" i="1" s="1"/>
  <c r="P87" i="1" s="1"/>
  <c r="O44" i="1"/>
  <c r="O3" i="1" s="1"/>
  <c r="O87" i="1" s="1"/>
  <c r="M44" i="1"/>
  <c r="M3" i="1" s="1"/>
  <c r="M87" i="1" s="1"/>
  <c r="T44" i="1"/>
  <c r="T3" i="1" s="1"/>
  <c r="T87" i="1" s="1"/>
  <c r="L4" i="2"/>
  <c r="Q44" i="1"/>
  <c r="Q3" i="1" s="1"/>
  <c r="Q87" i="1" s="1"/>
  <c r="N44" i="1"/>
  <c r="N3" i="1" s="1"/>
  <c r="N87" i="1" s="1"/>
  <c r="R44" i="1"/>
  <c r="R3" i="1" s="1"/>
  <c r="R87" i="1" s="1"/>
  <c r="G4" i="2"/>
  <c r="N4" i="2"/>
  <c r="H4" i="2"/>
  <c r="M4" i="2"/>
  <c r="K4" i="2"/>
  <c r="J4" i="2"/>
  <c r="U45" i="1"/>
  <c r="I4" i="2"/>
  <c r="E6" i="2"/>
  <c r="E80" i="1"/>
  <c r="E8" i="3" s="1"/>
  <c r="E11" i="3" s="1"/>
  <c r="F6" i="2"/>
  <c r="F80" i="1"/>
  <c r="F8" i="3" s="1"/>
  <c r="F11" i="3" s="1"/>
  <c r="U5" i="3" l="1"/>
  <c r="Q80" i="1"/>
  <c r="Q8" i="3" s="1"/>
  <c r="Q11" i="3" s="1"/>
  <c r="N80" i="1"/>
  <c r="N81" i="1" s="1"/>
  <c r="N9" i="3" s="1"/>
  <c r="I10" i="2"/>
  <c r="I11" i="2" s="1"/>
  <c r="J10" i="2"/>
  <c r="J11" i="2" s="1"/>
  <c r="M10" i="2"/>
  <c r="M11" i="2" s="1"/>
  <c r="N10" i="2"/>
  <c r="N11" i="2" s="1"/>
  <c r="K10" i="2"/>
  <c r="K11" i="2" s="1"/>
  <c r="N6" i="2"/>
  <c r="K6" i="2"/>
  <c r="H10" i="2"/>
  <c r="H11" i="2" s="1"/>
  <c r="L10" i="2"/>
  <c r="G10" i="2"/>
  <c r="G11" i="2" s="1"/>
  <c r="J80" i="1"/>
  <c r="J81" i="1" s="1"/>
  <c r="O4" i="2"/>
  <c r="K81" i="1"/>
  <c r="K9" i="3" s="1"/>
  <c r="K8" i="3"/>
  <c r="K11" i="3" s="1"/>
  <c r="O80" i="1"/>
  <c r="M80" i="1"/>
  <c r="G80" i="1"/>
  <c r="G8" i="3" s="1"/>
  <c r="G11" i="3" s="1"/>
  <c r="G7" i="3"/>
  <c r="L80" i="1"/>
  <c r="L7" i="3"/>
  <c r="H1" i="1"/>
  <c r="G2" i="3"/>
  <c r="H6" i="2"/>
  <c r="M6" i="2"/>
  <c r="S81" i="1"/>
  <c r="S9" i="3" s="1"/>
  <c r="S8" i="3"/>
  <c r="S11" i="3" s="1"/>
  <c r="J6" i="2"/>
  <c r="P80" i="1"/>
  <c r="R80" i="1"/>
  <c r="M7" i="2" s="1"/>
  <c r="T80" i="1"/>
  <c r="L6" i="2"/>
  <c r="G8" i="2"/>
  <c r="H80" i="1"/>
  <c r="I6" i="2"/>
  <c r="I80" i="1"/>
  <c r="I8" i="3" s="1"/>
  <c r="D8" i="2"/>
  <c r="F7" i="2"/>
  <c r="F8" i="2"/>
  <c r="E7" i="2"/>
  <c r="E8" i="2"/>
  <c r="I11" i="3" l="1"/>
  <c r="Q81" i="1"/>
  <c r="L8" i="2" s="1"/>
  <c r="L7" i="2"/>
  <c r="N8" i="3"/>
  <c r="N11" i="3" s="1"/>
  <c r="J7" i="2"/>
  <c r="J8" i="3"/>
  <c r="J11" i="3" s="1"/>
  <c r="E74" i="2"/>
  <c r="L11" i="2"/>
  <c r="R81" i="1"/>
  <c r="R8" i="3"/>
  <c r="R11" i="3" s="1"/>
  <c r="L81" i="1"/>
  <c r="L9" i="3" s="1"/>
  <c r="L8" i="3"/>
  <c r="L11" i="3" s="1"/>
  <c r="O81" i="1"/>
  <c r="O9" i="3" s="1"/>
  <c r="O8" i="3"/>
  <c r="O11" i="3" s="1"/>
  <c r="K7" i="2"/>
  <c r="P8" i="3"/>
  <c r="P11" i="3" s="1"/>
  <c r="N7" i="2"/>
  <c r="T8" i="3"/>
  <c r="T11" i="3" s="1"/>
  <c r="M81" i="1"/>
  <c r="M9" i="3" s="1"/>
  <c r="M8" i="3"/>
  <c r="M11" i="3" s="1"/>
  <c r="H7" i="2"/>
  <c r="H8" i="3"/>
  <c r="H11" i="3" s="1"/>
  <c r="J8" i="2"/>
  <c r="J9" i="3"/>
  <c r="I1" i="1"/>
  <c r="H2" i="3"/>
  <c r="P81" i="1"/>
  <c r="T81" i="1"/>
  <c r="G7" i="2"/>
  <c r="H8" i="2"/>
  <c r="I81" i="1"/>
  <c r="I7" i="2"/>
  <c r="Q9" i="3" l="1"/>
  <c r="J1" i="1"/>
  <c r="I2" i="3"/>
  <c r="N8" i="2"/>
  <c r="T9" i="3"/>
  <c r="I8" i="2"/>
  <c r="I9" i="3"/>
  <c r="K8" i="2"/>
  <c r="P9" i="3"/>
  <c r="M8" i="2"/>
  <c r="R9" i="3"/>
  <c r="K1" i="1" l="1"/>
  <c r="J2" i="3"/>
  <c r="L1" i="1" l="1"/>
  <c r="K2" i="3"/>
  <c r="M1" i="1" l="1"/>
  <c r="L2" i="3"/>
  <c r="C8" i="2"/>
  <c r="N1" i="1" l="1"/>
  <c r="M2" i="3"/>
  <c r="O1" i="1" l="1"/>
  <c r="N2" i="3"/>
  <c r="P1" i="1" l="1"/>
  <c r="O2" i="3"/>
  <c r="Q1" i="1" l="1"/>
  <c r="P2" i="3"/>
  <c r="R1" i="1" l="1"/>
  <c r="Q2" i="3"/>
  <c r="S1" i="1" l="1"/>
  <c r="R2" i="3"/>
  <c r="T1" i="1" l="1"/>
  <c r="T2" i="3" s="1"/>
  <c r="S2" i="3"/>
  <c r="C70" i="1"/>
  <c r="C53" i="1" s="1"/>
  <c r="C78" i="1" s="1"/>
  <c r="C44" i="1" l="1"/>
  <c r="C6" i="3"/>
  <c r="C5" i="2"/>
  <c r="C80" i="1" l="1"/>
  <c r="C7" i="3"/>
  <c r="C6" i="2"/>
  <c r="C3" i="1"/>
  <c r="C87" i="1" s="1"/>
  <c r="C8" i="3" l="1"/>
  <c r="C7" i="2"/>
  <c r="C11" i="3" l="1"/>
  <c r="C10" i="2"/>
  <c r="C11" i="2" s="1"/>
  <c r="C88" i="1"/>
  <c r="C13" i="3" l="1"/>
  <c r="D86" i="1"/>
  <c r="C12" i="2"/>
  <c r="U77" i="1"/>
  <c r="D70" i="1"/>
  <c r="D53" i="1" s="1"/>
  <c r="D78" i="1" s="1"/>
  <c r="U70" i="1" l="1"/>
  <c r="D5" i="2"/>
  <c r="D6" i="3"/>
  <c r="U6" i="3" s="1"/>
  <c r="D6" i="2"/>
  <c r="U53" i="1"/>
  <c r="D44" i="1" l="1"/>
  <c r="U78" i="1"/>
  <c r="D7" i="3"/>
  <c r="U7" i="3" s="1"/>
  <c r="D80" i="1"/>
  <c r="D8" i="3" s="1"/>
  <c r="U8" i="3" s="1"/>
  <c r="O5" i="2"/>
  <c r="U9" i="3" l="1"/>
  <c r="C17" i="3"/>
  <c r="D11" i="3"/>
  <c r="U44" i="1"/>
  <c r="D3" i="1"/>
  <c r="U80" i="1"/>
  <c r="D7" i="2"/>
  <c r="D87" i="1" l="1"/>
  <c r="U3" i="1"/>
  <c r="U12" i="3" l="1"/>
  <c r="C20" i="3" s="1"/>
  <c r="D13" i="3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D10" i="2"/>
  <c r="D11" i="2" s="1"/>
  <c r="D88" i="1"/>
  <c r="E86" i="1" s="1"/>
  <c r="E88" i="1" s="1"/>
  <c r="F86" i="1" s="1"/>
  <c r="U87" i="1"/>
  <c r="D12" i="2" l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C20" i="2" s="1"/>
  <c r="C19" i="2"/>
  <c r="E75" i="2" s="1"/>
  <c r="F88" i="1"/>
  <c r="G86" i="1" s="1"/>
  <c r="G88" i="1" l="1"/>
  <c r="H86" i="1" s="1"/>
  <c r="H88" i="1" l="1"/>
  <c r="I86" i="1" s="1"/>
  <c r="I88" i="1" l="1"/>
  <c r="J86" i="1" l="1"/>
  <c r="J88" i="1" s="1"/>
  <c r="K86" i="1" s="1"/>
  <c r="K88" i="1" s="1"/>
  <c r="L86" i="1" s="1"/>
  <c r="L88" i="1" s="1"/>
  <c r="M86" i="1" s="1"/>
  <c r="M88" i="1" l="1"/>
  <c r="N86" i="1" s="1"/>
  <c r="N88" i="1" l="1"/>
  <c r="O86" i="1" s="1"/>
  <c r="O88" i="1" l="1"/>
  <c r="P86" i="1" l="1"/>
  <c r="P88" i="1" s="1"/>
  <c r="Q86" i="1" s="1"/>
  <c r="Q88" i="1" s="1"/>
  <c r="R86" i="1" s="1"/>
  <c r="R88" i="1" l="1"/>
  <c r="S86" i="1" l="1"/>
  <c r="S88" i="1" s="1"/>
  <c r="T86" i="1" l="1"/>
  <c r="T88" i="1" l="1"/>
</calcChain>
</file>

<file path=xl/sharedStrings.xml><?xml version="1.0" encoding="utf-8"?>
<sst xmlns="http://schemas.openxmlformats.org/spreadsheetml/2006/main" count="155" uniqueCount="101">
  <si>
    <t>БДР</t>
  </si>
  <si>
    <t>тыс. руб.</t>
  </si>
  <si>
    <t>Период</t>
  </si>
  <si>
    <t>Итого</t>
  </si>
  <si>
    <t>Денежный поток от операционной деятельности</t>
  </si>
  <si>
    <t>Выручка от реализации</t>
  </si>
  <si>
    <t>Операционные расходы</t>
  </si>
  <si>
    <t>Переменные расходы</t>
  </si>
  <si>
    <t>Постоянные расходы</t>
  </si>
  <si>
    <t>Сертификаты, лицензии и др</t>
  </si>
  <si>
    <t>Прочие неучтенные расходы</t>
  </si>
  <si>
    <t>Услуги маркетинга и продвижения</t>
  </si>
  <si>
    <t>Бюджет на контекстную рекламу</t>
  </si>
  <si>
    <t>Команда проекта на окладной части</t>
  </si>
  <si>
    <t>Руководитель проекта</t>
  </si>
  <si>
    <t>Маркетолог</t>
  </si>
  <si>
    <t>Менеджер проекта</t>
  </si>
  <si>
    <t>Менеджер по продажам</t>
  </si>
  <si>
    <t>Прибыль до НО</t>
  </si>
  <si>
    <t>Чистая прибыль</t>
  </si>
  <si>
    <t>Норма чистой прибыли</t>
  </si>
  <si>
    <t>Денежный поток от финансовой деятельности</t>
  </si>
  <si>
    <t>Оборот за период, тыс. руб.</t>
  </si>
  <si>
    <t>Итоги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</si>
  <si>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</si>
  <si>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</si>
  <si>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</si>
  <si>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</si>
  <si>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</si>
  <si>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</si>
  <si>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</si>
  <si>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</si>
  <si>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</si>
  <si>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</si>
  <si>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</si>
  <si>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</si>
  <si>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Выручка</t>
  </si>
  <si>
    <t>Постоянные раскоды</t>
  </si>
  <si>
    <t>Прибыль</t>
  </si>
  <si>
    <t>Инвестиции</t>
  </si>
  <si>
    <t>Денежный поток</t>
  </si>
  <si>
    <t>DCF</t>
  </si>
  <si>
    <t>ADCF</t>
  </si>
  <si>
    <t>r</t>
  </si>
  <si>
    <t>Безрисковая ставка</t>
  </si>
  <si>
    <t>Бета по рынку</t>
  </si>
  <si>
    <t>Среднерыночный доход</t>
  </si>
  <si>
    <t>NPV (сумма DCF)</t>
  </si>
  <si>
    <t>NPV (итог дисконтированного дохода с нарастающим итогом)</t>
  </si>
  <si>
    <t>PP</t>
  </si>
  <si>
    <t>PI</t>
  </si>
  <si>
    <t xml:space="preserve">Бюджет на influence-маркетинг </t>
  </si>
  <si>
    <t>SEO-продвижение</t>
  </si>
  <si>
    <t>Остаток денежных средств на начало периода, тыс. руб.</t>
  </si>
  <si>
    <t>Остаток денежных средств на конец периода, тыс. руб.</t>
  </si>
  <si>
    <t>Командировочные расходы команды</t>
  </si>
  <si>
    <t xml:space="preserve">Команда </t>
  </si>
  <si>
    <t xml:space="preserve">Количество продаж </t>
  </si>
  <si>
    <t>Реализация ФЦП по масштабированию в 7 городах РФ</t>
  </si>
  <si>
    <t>Внедрение РСС по масштабированию в 28 крупных городах РФ</t>
  </si>
  <si>
    <t>Осуществление капитального строительства объекта</t>
  </si>
  <si>
    <t>Ввод в эксплуатацию объекта, его оснащение, благоустройство прилегающей территории</t>
  </si>
  <si>
    <t>Коммунальные, эксплуатационные платежи</t>
  </si>
  <si>
    <t>Приобретение основных средств и материальных запасов</t>
  </si>
  <si>
    <t>Оплата работ, услуг сторонних организаций</t>
  </si>
  <si>
    <t>Оплата труда  (200 чел.)</t>
  </si>
  <si>
    <t>Архитектор</t>
  </si>
  <si>
    <t>Маркетинговая стратегия (мультфильм)</t>
  </si>
  <si>
    <t xml:space="preserve"> Операционные расходы (деятельность центра)</t>
  </si>
  <si>
    <t>Создание MVP (макет, визуализации к ПМЭФ)</t>
  </si>
  <si>
    <t xml:space="preserve">Цена продажи </t>
  </si>
  <si>
    <t>Депонирование авторских прав</t>
  </si>
  <si>
    <t xml:space="preserve">Клубный взнос  </t>
  </si>
  <si>
    <t>Пушкинская карта</t>
  </si>
  <si>
    <t>Реализация ФЦП по масштабированию в 7 городах РФ (франшиза)</t>
  </si>
  <si>
    <t>Внедрение РСС по масштабированию в 28 крупных городах РФ (франшиза)</t>
  </si>
  <si>
    <t>Партнерские взносы</t>
  </si>
  <si>
    <t>Сувенирная продукция, мерч</t>
  </si>
  <si>
    <t>Арендная плата за предоставление помещений</t>
  </si>
  <si>
    <t xml:space="preserve">Плата за дополнительные услуги </t>
  </si>
  <si>
    <t>Плата за уличные локации и аренду инструментов</t>
  </si>
  <si>
    <t>Платные услуги за образовательный контент</t>
  </si>
  <si>
    <t>Мероприятия с селебрити %</t>
  </si>
  <si>
    <t>Средства субсидий за выполнение государственного задания</t>
  </si>
  <si>
    <t xml:space="preserve">Налог УСН 6% </t>
  </si>
  <si>
    <t>Дополнительные расходы по обслуживанию организации (бухгалтерия-аутсорс, юридические услуги и т.д.)</t>
  </si>
  <si>
    <t>Собственные вложения команды</t>
  </si>
  <si>
    <t>ЭТАПЫ</t>
  </si>
  <si>
    <t>I Создание</t>
  </si>
  <si>
    <t>II Масштабирование по ФЦП</t>
  </si>
  <si>
    <t>III Масштабирование по РСС</t>
  </si>
  <si>
    <t>ПИЛОТ</t>
  </si>
  <si>
    <t>ИТОГО</t>
  </si>
  <si>
    <t>ПЕРИОД</t>
  </si>
  <si>
    <t>NPV (после дисконтированного итога с нарастающим доходом)</t>
  </si>
  <si>
    <t>Грантовые средства (единовременно)</t>
  </si>
  <si>
    <t>-</t>
  </si>
  <si>
    <t>Селебрети-менеджер (10% от доходов доплата)</t>
  </si>
  <si>
    <t>Проведение фестивалей, событийных мероприятий</t>
  </si>
  <si>
    <t>Налоги с заработной платы - 30+2%</t>
  </si>
  <si>
    <t>Амортизация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</si>
</sst>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.m"/>
    <numFmt numFmtId="165" formatCode="mmm\ d"/>
    <numFmt numFmtId="166" formatCode="_-* #,##0.00_-;\-* #,##0.00_-;_-* &quot;-&quot;??_-;_-@"/>
    <numFmt numFmtId="167" formatCode="#,##0.0"/>
    <numFmt numFmtId="168" formatCode="0.0%"/>
  </numFmts>
  <fonts count="24" x14ac:knownFonts="1">
    <font>
      <sz val="10"/>
      <color rgb="FF000000"/>
      <name val="Arial"/>
      <scheme val="minor"/>
    </font>
    <font>
      <sz val="10"/>
      <color rgb="FF000000"/>
      <name val="Times New Roman"/>
    </font>
    <font>
      <sz val="10"/>
      <color theme="1"/>
      <name val="Times New Roman"/>
    </font>
    <font>
      <b/>
      <sz val="10"/>
      <color rgb="FF000000"/>
      <name val="Times New Roman"/>
    </font>
    <font>
      <b/>
      <sz val="10"/>
      <color rgb="FF000000"/>
      <name val="Times"/>
    </font>
    <font>
      <sz val="10"/>
      <color rgb="FF000000"/>
      <name val="Times"/>
    </font>
    <font>
      <i/>
      <sz val="10"/>
      <color rgb="FF000000"/>
      <name val="Times"/>
    </font>
    <font>
      <b/>
      <i/>
      <sz val="10"/>
      <color rgb="FF000000"/>
      <name val="Times New Roman"/>
    </font>
    <font>
      <sz val="10"/>
      <name val="Arial"/>
    </font>
    <font>
      <i/>
      <sz val="10"/>
      <color rgb="FF000000"/>
      <name val="Times New Roman"/>
    </font>
    <font>
      <sz val="12"/>
      <color theme="1"/>
      <name val="Times New Roman"/>
    </font>
    <font>
      <sz val="10"/>
      <color rgb="FF000000"/>
      <name val="Arial"/>
    </font>
    <font>
      <sz val="10"/>
      <color rgb="FF000000"/>
      <name val="Arial"/>
    </font>
    <font>
      <sz val="10"/>
      <color rgb="FFFFFFFF"/>
      <name val="Times New Roman"/>
    </font>
    <font>
      <i/>
      <sz val="10"/>
      <color rgb="FF000000"/>
      <name val="Times"/>
      <charset val="204"/>
    </font>
    <font>
      <b/>
      <sz val="10"/>
      <color rgb="FF000000"/>
      <name val="Times"/>
      <charset val="204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38761D"/>
        <bgColor rgb="FF38761D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93C47D"/>
      </patternFill>
    </fill>
    <fill>
      <patternFill patternType="solid">
        <fgColor theme="7"/>
        <bgColor rgb="FF38761D"/>
      </patternFill>
    </fill>
    <fill>
      <patternFill patternType="solid">
        <fgColor theme="7"/>
        <bgColor rgb="FF93C47D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</cellStyleXfs>
  <cellXfs count="13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1" fillId="0" borderId="0" xfId="0" applyFont="1"/>
    <xf numFmtId="165" fontId="1" fillId="2" borderId="2" xfId="0" applyNumberFormat="1" applyFont="1" applyFill="1" applyBorder="1"/>
    <xf numFmtId="0" fontId="1" fillId="0" borderId="0" xfId="0" applyFont="1"/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4" borderId="2" xfId="0" applyFont="1" applyFill="1" applyBorder="1" applyAlignment="1">
      <alignment wrapText="1"/>
    </xf>
    <xf numFmtId="166" fontId="1" fillId="6" borderId="2" xfId="0" applyNumberFormat="1" applyFont="1" applyFill="1" applyBorder="1" applyAlignment="1">
      <alignment wrapText="1"/>
    </xf>
    <xf numFmtId="166" fontId="3" fillId="2" borderId="2" xfId="0" applyNumberFormat="1" applyFont="1" applyFill="1" applyBorder="1" applyAlignment="1">
      <alignment horizontal="center"/>
    </xf>
    <xf numFmtId="9" fontId="1" fillId="6" borderId="2" xfId="0" applyNumberFormat="1" applyFont="1" applyFill="1" applyBorder="1" applyAlignment="1">
      <alignment wrapText="1"/>
    </xf>
    <xf numFmtId="0" fontId="1" fillId="4" borderId="12" xfId="0" applyFont="1" applyFill="1" applyBorder="1" applyAlignment="1">
      <alignment wrapText="1"/>
    </xf>
    <xf numFmtId="166" fontId="1" fillId="6" borderId="2" xfId="0" applyNumberFormat="1" applyFont="1" applyFill="1" applyBorder="1"/>
    <xf numFmtId="166" fontId="1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9" fontId="1" fillId="0" borderId="2" xfId="0" applyNumberFormat="1" applyFont="1" applyBorder="1"/>
    <xf numFmtId="0" fontId="1" fillId="0" borderId="2" xfId="0" applyFont="1" applyBorder="1"/>
    <xf numFmtId="0" fontId="12" fillId="0" borderId="0" xfId="0" applyFont="1"/>
    <xf numFmtId="166" fontId="3" fillId="2" borderId="2" xfId="0" applyNumberFormat="1" applyFont="1" applyFill="1" applyBorder="1" applyAlignment="1">
      <alignment horizontal="center" wrapText="1"/>
    </xf>
    <xf numFmtId="166" fontId="1" fillId="0" borderId="0" xfId="0" applyNumberFormat="1" applyFont="1"/>
    <xf numFmtId="9" fontId="12" fillId="0" borderId="0" xfId="0" applyNumberFormat="1" applyFont="1"/>
    <xf numFmtId="0" fontId="13" fillId="0" borderId="0" xfId="0" applyFont="1"/>
    <xf numFmtId="9" fontId="13" fillId="5" borderId="0" xfId="0" applyNumberFormat="1" applyFont="1" applyFill="1" applyAlignment="1">
      <alignment horizontal="right"/>
    </xf>
    <xf numFmtId="167" fontId="1" fillId="2" borderId="2" xfId="0" applyNumberFormat="1" applyFont="1" applyFill="1" applyBorder="1" applyAlignment="1">
      <alignment horizontal="center"/>
    </xf>
    <xf numFmtId="167" fontId="3" fillId="2" borderId="2" xfId="0" applyNumberFormat="1" applyFont="1" applyFill="1" applyBorder="1" applyAlignment="1">
      <alignment horizontal="center"/>
    </xf>
    <xf numFmtId="167" fontId="0" fillId="0" borderId="0" xfId="0" applyNumberFormat="1"/>
    <xf numFmtId="167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167" fontId="5" fillId="0" borderId="0" xfId="0" applyNumberFormat="1" applyFont="1" applyAlignment="1">
      <alignment horizontal="center" vertical="center"/>
    </xf>
    <xf numFmtId="0" fontId="14" fillId="0" borderId="0" xfId="0" applyFont="1" applyAlignment="1">
      <alignment wrapText="1"/>
    </xf>
    <xf numFmtId="167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7" borderId="0" xfId="0" applyFont="1" applyFill="1" applyAlignment="1">
      <alignment wrapText="1"/>
    </xf>
    <xf numFmtId="0" fontId="15" fillId="4" borderId="1" xfId="0" applyFont="1" applyFill="1" applyBorder="1" applyAlignment="1">
      <alignment wrapText="1"/>
    </xf>
    <xf numFmtId="1" fontId="18" fillId="11" borderId="13" xfId="0" applyNumberFormat="1" applyFont="1" applyFill="1" applyBorder="1" applyAlignment="1">
      <alignment horizontal="center" wrapText="1"/>
    </xf>
    <xf numFmtId="0" fontId="20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19" fillId="0" borderId="13" xfId="0" applyFont="1" applyBorder="1"/>
    <xf numFmtId="0" fontId="4" fillId="2" borderId="13" xfId="0" applyFont="1" applyFill="1" applyBorder="1" applyAlignment="1">
      <alignment horizontal="center" vertical="center"/>
    </xf>
    <xf numFmtId="167" fontId="5" fillId="2" borderId="17" xfId="0" applyNumberFormat="1" applyFont="1" applyFill="1" applyBorder="1" applyAlignment="1">
      <alignment horizontal="center" vertical="center"/>
    </xf>
    <xf numFmtId="167" fontId="5" fillId="2" borderId="13" xfId="0" applyNumberFormat="1" applyFont="1" applyFill="1" applyBorder="1" applyAlignment="1">
      <alignment horizontal="center" vertical="center"/>
    </xf>
    <xf numFmtId="167" fontId="18" fillId="2" borderId="17" xfId="0" applyNumberFormat="1" applyFont="1" applyFill="1" applyBorder="1" applyAlignment="1">
      <alignment horizontal="center" vertical="center" wrapText="1"/>
    </xf>
    <xf numFmtId="167" fontId="18" fillId="2" borderId="13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167" fontId="4" fillId="2" borderId="2" xfId="0" applyNumberFormat="1" applyFont="1" applyFill="1" applyBorder="1" applyAlignment="1">
      <alignment horizontal="center" vertical="center"/>
    </xf>
    <xf numFmtId="167" fontId="3" fillId="2" borderId="13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center" vertical="center"/>
    </xf>
    <xf numFmtId="167" fontId="1" fillId="3" borderId="3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/>
    </xf>
    <xf numFmtId="167" fontId="4" fillId="2" borderId="3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7" fillId="0" borderId="0" xfId="0" applyNumberFormat="1" applyFont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167" fontId="4" fillId="2" borderId="15" xfId="0" applyNumberFormat="1" applyFont="1" applyFill="1" applyBorder="1" applyAlignment="1">
      <alignment horizontal="center" vertical="center"/>
    </xf>
    <xf numFmtId="167" fontId="3" fillId="3" borderId="13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7" fontId="10" fillId="4" borderId="8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167" fontId="10" fillId="4" borderId="11" xfId="0" applyNumberFormat="1" applyFont="1" applyFill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0" fontId="0" fillId="0" borderId="13" xfId="0" applyNumberFormat="1" applyBorder="1" applyAlignment="1">
      <alignment horizontal="center" vertical="center"/>
    </xf>
    <xf numFmtId="168" fontId="0" fillId="0" borderId="13" xfId="0" applyNumberFormat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7" fontId="1" fillId="7" borderId="2" xfId="0" applyNumberFormat="1" applyFont="1" applyFill="1" applyBorder="1" applyAlignment="1">
      <alignment horizontal="center" vertical="center"/>
    </xf>
    <xf numFmtId="167" fontId="3" fillId="12" borderId="13" xfId="0" applyNumberFormat="1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20" fillId="13" borderId="13" xfId="0" applyFont="1" applyFill="1" applyBorder="1" applyAlignment="1">
      <alignment horizontal="center" vertical="center"/>
    </xf>
    <xf numFmtId="1" fontId="18" fillId="13" borderId="17" xfId="0" applyNumberFormat="1" applyFont="1" applyFill="1" applyBorder="1" applyAlignment="1">
      <alignment horizontal="center" vertical="center" wrapText="1"/>
    </xf>
    <xf numFmtId="1" fontId="18" fillId="13" borderId="13" xfId="0" applyNumberFormat="1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164" fontId="3" fillId="13" borderId="13" xfId="0" applyNumberFormat="1" applyFont="1" applyFill="1" applyBorder="1" applyAlignment="1">
      <alignment vertical="center"/>
    </xf>
    <xf numFmtId="0" fontId="15" fillId="13" borderId="13" xfId="0" applyFont="1" applyFill="1" applyBorder="1" applyAlignment="1">
      <alignment vertical="center"/>
    </xf>
    <xf numFmtId="0" fontId="4" fillId="13" borderId="13" xfId="0" applyFont="1" applyFill="1" applyBorder="1" applyAlignment="1">
      <alignment vertical="center"/>
    </xf>
    <xf numFmtId="0" fontId="4" fillId="13" borderId="13" xfId="0" applyFont="1" applyFill="1" applyBorder="1" applyAlignment="1">
      <alignment vertical="center" wrapText="1"/>
    </xf>
    <xf numFmtId="167" fontId="21" fillId="2" borderId="1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22" fillId="0" borderId="0" xfId="0" applyFont="1" applyAlignment="1">
      <alignment wrapText="1"/>
    </xf>
    <xf numFmtId="167" fontId="1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5" fillId="2" borderId="5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1" fontId="16" fillId="10" borderId="18" xfId="1" applyNumberFormat="1" applyFill="1" applyBorder="1" applyAlignment="1">
      <alignment horizontal="center" wrapText="1"/>
    </xf>
    <xf numFmtId="1" fontId="16" fillId="10" borderId="19" xfId="1" applyNumberFormat="1" applyFill="1" applyBorder="1" applyAlignment="1">
      <alignment horizontal="center" wrapText="1"/>
    </xf>
    <xf numFmtId="1" fontId="16" fillId="10" borderId="20" xfId="1" applyNumberFormat="1" applyFill="1" applyBorder="1" applyAlignment="1">
      <alignment horizontal="center" wrapText="1"/>
    </xf>
    <xf numFmtId="1" fontId="16" fillId="8" borderId="19" xfId="1" applyNumberFormat="1" applyBorder="1" applyAlignment="1">
      <alignment horizontal="center" wrapText="1"/>
    </xf>
    <xf numFmtId="1" fontId="16" fillId="8" borderId="20" xfId="1" applyNumberFormat="1" applyBorder="1" applyAlignment="1">
      <alignment horizontal="center" wrapText="1"/>
    </xf>
    <xf numFmtId="1" fontId="17" fillId="9" borderId="18" xfId="2" applyNumberFormat="1" applyBorder="1" applyAlignment="1">
      <alignment horizontal="center" wrapText="1"/>
    </xf>
    <xf numFmtId="1" fontId="17" fillId="9" borderId="19" xfId="2" applyNumberFormat="1" applyBorder="1" applyAlignment="1">
      <alignment horizontal="center" wrapText="1"/>
    </xf>
    <xf numFmtId="1" fontId="17" fillId="9" borderId="20" xfId="2" applyNumberFormat="1" applyBorder="1" applyAlignment="1">
      <alignment horizontal="center" wrapText="1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FFFFCC"/>
      <color rgb="FFD9EAD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32"/>
  <sheetViews>
    <sheetView topLeftCell="H106" workbookViewId="0">
      <selection activeCell="I24" sqref="I24"/>
    </sheetView>
  </sheetViews>
  <sheetFormatPr defaultColWidth="12.5546875" defaultRowHeight="15" customHeight="1" x14ac:dyDescent="0.25"/>
  <cols>
    <col min="1" max="1" width="6.33203125" style="53" customWidth="1"/>
    <col min="2" max="2" width="57.21875" customWidth="1"/>
    <col min="3" max="21" width="14.44140625" style="37" customWidth="1"/>
  </cols>
  <sheetData>
    <row r="1" spans="1:21" ht="15.75" customHeight="1" x14ac:dyDescent="0.25">
      <c r="A1" s="46" t="s">
        <v>0</v>
      </c>
      <c r="B1" s="2" t="s">
        <v>1</v>
      </c>
      <c r="C1" s="4">
        <v>2024</v>
      </c>
      <c r="D1" s="4">
        <f>C1+1</f>
        <v>2025</v>
      </c>
      <c r="E1" s="4">
        <f t="shared" ref="E1:J2" si="0">D1+1</f>
        <v>2026</v>
      </c>
      <c r="F1" s="4">
        <f t="shared" si="0"/>
        <v>2027</v>
      </c>
      <c r="G1" s="4">
        <f t="shared" si="0"/>
        <v>2028</v>
      </c>
      <c r="H1" s="4">
        <f t="shared" si="0"/>
        <v>2029</v>
      </c>
      <c r="I1" s="4">
        <f t="shared" si="0"/>
        <v>2030</v>
      </c>
      <c r="J1" s="4">
        <f t="shared" si="0"/>
        <v>2031</v>
      </c>
      <c r="K1" s="4">
        <f t="shared" ref="K1:R2" si="1">J1+1</f>
        <v>2032</v>
      </c>
      <c r="L1" s="4">
        <f t="shared" si="1"/>
        <v>2033</v>
      </c>
      <c r="M1" s="4">
        <f t="shared" si="1"/>
        <v>2034</v>
      </c>
      <c r="N1" s="4">
        <f t="shared" si="1"/>
        <v>2035</v>
      </c>
      <c r="O1" s="4">
        <f t="shared" si="1"/>
        <v>2036</v>
      </c>
      <c r="P1" s="4">
        <f t="shared" si="1"/>
        <v>2037</v>
      </c>
      <c r="Q1" s="4">
        <f t="shared" si="1"/>
        <v>2038</v>
      </c>
      <c r="R1" s="4">
        <f t="shared" si="1"/>
        <v>2039</v>
      </c>
      <c r="S1" s="4">
        <f t="shared" ref="S1:S2" si="2">R1+1</f>
        <v>2040</v>
      </c>
      <c r="T1" s="4">
        <f t="shared" ref="T1:T2" si="3">S1+1</f>
        <v>2041</v>
      </c>
      <c r="U1" s="35"/>
    </row>
    <row r="2" spans="1:21" ht="15.75" customHeight="1" x14ac:dyDescent="0.25">
      <c r="A2" s="46"/>
      <c r="B2" s="6" t="s">
        <v>2</v>
      </c>
      <c r="C2" s="39">
        <v>1</v>
      </c>
      <c r="D2" s="39">
        <f>C2+1</f>
        <v>2</v>
      </c>
      <c r="E2" s="39">
        <f t="shared" si="0"/>
        <v>3</v>
      </c>
      <c r="F2" s="39">
        <f t="shared" si="0"/>
        <v>4</v>
      </c>
      <c r="G2" s="39">
        <f t="shared" si="0"/>
        <v>5</v>
      </c>
      <c r="H2" s="39">
        <f t="shared" si="0"/>
        <v>6</v>
      </c>
      <c r="I2" s="39">
        <f t="shared" si="0"/>
        <v>7</v>
      </c>
      <c r="J2" s="39">
        <f t="shared" si="0"/>
        <v>8</v>
      </c>
      <c r="K2" s="39">
        <f t="shared" si="1"/>
        <v>9</v>
      </c>
      <c r="L2" s="39">
        <f t="shared" si="1"/>
        <v>10</v>
      </c>
      <c r="M2" s="39">
        <f t="shared" si="1"/>
        <v>11</v>
      </c>
      <c r="N2" s="39">
        <f t="shared" si="1"/>
        <v>12</v>
      </c>
      <c r="O2" s="39">
        <f t="shared" si="1"/>
        <v>13</v>
      </c>
      <c r="P2" s="39">
        <f t="shared" si="1"/>
        <v>14</v>
      </c>
      <c r="Q2" s="39">
        <f t="shared" si="1"/>
        <v>15</v>
      </c>
      <c r="R2" s="39">
        <f t="shared" si="1"/>
        <v>16</v>
      </c>
      <c r="S2" s="39">
        <f t="shared" si="2"/>
        <v>17</v>
      </c>
      <c r="T2" s="39">
        <f t="shared" si="3"/>
        <v>18</v>
      </c>
      <c r="U2" s="36" t="s">
        <v>3</v>
      </c>
    </row>
    <row r="3" spans="1:21" ht="15.75" customHeight="1" x14ac:dyDescent="0.25">
      <c r="A3" s="47"/>
      <c r="B3" s="8" t="s">
        <v>4</v>
      </c>
      <c r="C3" s="81">
        <f t="shared" ref="C3:T3" si="4">C4-C44</f>
        <v>-1300.99</v>
      </c>
      <c r="D3" s="81">
        <f t="shared" si="4"/>
        <v>-3960</v>
      </c>
      <c r="E3" s="81">
        <f t="shared" si="4"/>
        <v>-248950</v>
      </c>
      <c r="F3" s="81">
        <f t="shared" si="4"/>
        <v>-248950</v>
      </c>
      <c r="G3" s="81">
        <f t="shared" si="4"/>
        <v>-3006920</v>
      </c>
      <c r="H3" s="81">
        <f t="shared" si="4"/>
        <v>-3006920</v>
      </c>
      <c r="I3" s="81">
        <f t="shared" si="4"/>
        <v>-3401000.64</v>
      </c>
      <c r="J3" s="81">
        <f t="shared" si="4"/>
        <v>29207</v>
      </c>
      <c r="K3" s="81">
        <f t="shared" si="4"/>
        <v>2709507</v>
      </c>
      <c r="L3" s="81">
        <f t="shared" si="4"/>
        <v>2709807</v>
      </c>
      <c r="M3" s="81">
        <f t="shared" si="4"/>
        <v>2709807</v>
      </c>
      <c r="N3" s="81">
        <f t="shared" si="4"/>
        <v>1259807</v>
      </c>
      <c r="O3" s="81">
        <f t="shared" si="4"/>
        <v>1609807</v>
      </c>
      <c r="P3" s="81">
        <f t="shared" si="4"/>
        <v>1609807</v>
      </c>
      <c r="Q3" s="81">
        <f t="shared" si="4"/>
        <v>2068307</v>
      </c>
      <c r="R3" s="81">
        <f t="shared" si="4"/>
        <v>2068307</v>
      </c>
      <c r="S3" s="81">
        <f t="shared" si="4"/>
        <v>2068307</v>
      </c>
      <c r="T3" s="82">
        <f t="shared" si="4"/>
        <v>2068307</v>
      </c>
      <c r="U3" s="43">
        <f t="shared" ref="U3:U5" si="5">SUM(C3:T3)</f>
        <v>10992975.369999999</v>
      </c>
    </row>
    <row r="4" spans="1:21" ht="15.75" customHeight="1" x14ac:dyDescent="0.25">
      <c r="A4" s="48">
        <v>1</v>
      </c>
      <c r="B4" s="9" t="s">
        <v>5</v>
      </c>
      <c r="C4" s="83">
        <f>C6*C7+C9*C10+C12*C13+C15*C16+C18*C19+C21*C22+C24*C25+C27*C28+C30*C31+C33*C34+C36*C37+C42*C43+C39*C40</f>
        <v>0</v>
      </c>
      <c r="D4" s="83">
        <f t="shared" ref="D4:T4" si="6">D6*D7+D9*D10+D12*D13+D15*D16+D18*D19+D21*D22+D24*D25+D27*D28+D30*D31+D33*D34+D36*D37+D42*D43+D39*D40</f>
        <v>0</v>
      </c>
      <c r="E4" s="83">
        <f t="shared" si="6"/>
        <v>0</v>
      </c>
      <c r="F4" s="83">
        <f t="shared" si="6"/>
        <v>0</v>
      </c>
      <c r="G4" s="83">
        <f t="shared" si="6"/>
        <v>0</v>
      </c>
      <c r="H4" s="83">
        <f t="shared" si="6"/>
        <v>0</v>
      </c>
      <c r="I4" s="83">
        <f t="shared" si="6"/>
        <v>20000</v>
      </c>
      <c r="J4" s="83">
        <f>J6*J7+J9*J10+J12*J13+J15*J16+J18*J19+J21*J22+J24*J25+J27*J28+J30*J31+J33*J34+J36*J37+J42*J43+J39*J40</f>
        <v>732200</v>
      </c>
      <c r="K4" s="83">
        <f>K6*K7+K9*K10+K12*K13+K15*K16+K18*K19+K21*K22+K24*K25+K27*K28+K30*K31+K33*K34+K36*K37+K42*K43+K39*K40</f>
        <v>3732500</v>
      </c>
      <c r="L4" s="83">
        <f t="shared" si="6"/>
        <v>3732800</v>
      </c>
      <c r="M4" s="83">
        <f t="shared" si="6"/>
        <v>3732800</v>
      </c>
      <c r="N4" s="83">
        <f t="shared" si="6"/>
        <v>2232800</v>
      </c>
      <c r="O4" s="83">
        <f t="shared" si="6"/>
        <v>2732800</v>
      </c>
      <c r="P4" s="83">
        <f t="shared" si="6"/>
        <v>2732800</v>
      </c>
      <c r="Q4" s="83">
        <f t="shared" si="6"/>
        <v>3232800</v>
      </c>
      <c r="R4" s="83">
        <f t="shared" si="6"/>
        <v>3232800</v>
      </c>
      <c r="S4" s="83">
        <f t="shared" si="6"/>
        <v>3232800</v>
      </c>
      <c r="T4" s="83">
        <f t="shared" si="6"/>
        <v>3232800</v>
      </c>
      <c r="U4" s="43">
        <f t="shared" si="5"/>
        <v>32579900</v>
      </c>
    </row>
    <row r="5" spans="1:21" ht="15.75" customHeight="1" x14ac:dyDescent="0.25">
      <c r="A5" s="49">
        <v>1</v>
      </c>
      <c r="B5" s="62" t="s">
        <v>72</v>
      </c>
      <c r="C5" s="76"/>
      <c r="D5" s="76"/>
      <c r="E5" s="76"/>
      <c r="F5" s="76"/>
      <c r="G5" s="76"/>
      <c r="H5" s="76"/>
      <c r="I5" s="76">
        <v>10000</v>
      </c>
      <c r="J5" s="76">
        <f>J6*J7</f>
        <v>200000</v>
      </c>
      <c r="K5" s="76">
        <f t="shared" ref="K5:T5" si="7">K6*K7</f>
        <v>200000</v>
      </c>
      <c r="L5" s="76">
        <f t="shared" si="7"/>
        <v>200000</v>
      </c>
      <c r="M5" s="76">
        <f t="shared" si="7"/>
        <v>200000</v>
      </c>
      <c r="N5" s="76">
        <f t="shared" si="7"/>
        <v>200000</v>
      </c>
      <c r="O5" s="76">
        <f t="shared" si="7"/>
        <v>200000</v>
      </c>
      <c r="P5" s="76">
        <f t="shared" si="7"/>
        <v>200000</v>
      </c>
      <c r="Q5" s="76">
        <f t="shared" si="7"/>
        <v>200000</v>
      </c>
      <c r="R5" s="76">
        <f t="shared" si="7"/>
        <v>200000</v>
      </c>
      <c r="S5" s="76">
        <f t="shared" si="7"/>
        <v>200000</v>
      </c>
      <c r="T5" s="76">
        <f t="shared" si="7"/>
        <v>200000</v>
      </c>
      <c r="U5" s="103">
        <f t="shared" si="5"/>
        <v>2210000</v>
      </c>
    </row>
    <row r="6" spans="1:21" ht="15.75" customHeight="1" x14ac:dyDescent="0.25">
      <c r="A6" s="50"/>
      <c r="B6" s="11" t="s">
        <v>70</v>
      </c>
      <c r="C6" s="41"/>
      <c r="D6" s="41"/>
      <c r="E6" s="41"/>
      <c r="F6" s="41"/>
      <c r="G6" s="41"/>
      <c r="H6" s="41"/>
      <c r="I6" s="41">
        <v>1</v>
      </c>
      <c r="J6" s="41">
        <v>1</v>
      </c>
      <c r="K6" s="41">
        <v>1</v>
      </c>
      <c r="L6" s="41">
        <v>1</v>
      </c>
      <c r="M6" s="41">
        <v>1</v>
      </c>
      <c r="N6" s="41">
        <v>1</v>
      </c>
      <c r="O6" s="41">
        <v>1</v>
      </c>
      <c r="P6" s="41">
        <v>1</v>
      </c>
      <c r="Q6" s="41">
        <v>1</v>
      </c>
      <c r="R6" s="41">
        <v>1</v>
      </c>
      <c r="S6" s="41">
        <v>1</v>
      </c>
      <c r="T6" s="41">
        <v>1</v>
      </c>
      <c r="U6" s="43"/>
    </row>
    <row r="7" spans="1:21" ht="15.75" customHeight="1" x14ac:dyDescent="0.25">
      <c r="A7" s="50"/>
      <c r="B7" s="11" t="s">
        <v>57</v>
      </c>
      <c r="C7" s="41"/>
      <c r="D7" s="41"/>
      <c r="E7" s="41"/>
      <c r="F7" s="41"/>
      <c r="G7" s="41"/>
      <c r="H7" s="41"/>
      <c r="I7" s="41">
        <v>20000</v>
      </c>
      <c r="J7" s="41">
        <v>200000</v>
      </c>
      <c r="K7" s="41">
        <v>200000</v>
      </c>
      <c r="L7" s="41">
        <v>200000</v>
      </c>
      <c r="M7" s="41">
        <v>200000</v>
      </c>
      <c r="N7" s="41">
        <v>200000</v>
      </c>
      <c r="O7" s="41">
        <v>200000</v>
      </c>
      <c r="P7" s="41">
        <v>200000</v>
      </c>
      <c r="Q7" s="41">
        <v>200000</v>
      </c>
      <c r="R7" s="41">
        <v>200000</v>
      </c>
      <c r="S7" s="41">
        <v>200000</v>
      </c>
      <c r="T7" s="41">
        <v>200000</v>
      </c>
      <c r="U7" s="43"/>
    </row>
    <row r="8" spans="1:21" ht="15.75" customHeight="1" x14ac:dyDescent="0.25">
      <c r="A8" s="49">
        <v>2</v>
      </c>
      <c r="B8" s="62" t="s">
        <v>73</v>
      </c>
      <c r="C8" s="76"/>
      <c r="D8" s="76"/>
      <c r="E8" s="76"/>
      <c r="F8" s="76"/>
      <c r="G8" s="76"/>
      <c r="H8" s="76"/>
      <c r="I8" s="76"/>
      <c r="J8" s="76">
        <f>J9*J10</f>
        <v>5000</v>
      </c>
      <c r="K8" s="76">
        <f t="shared" ref="K8:T8" si="8">K9*K10</f>
        <v>5000</v>
      </c>
      <c r="L8" s="76">
        <f t="shared" si="8"/>
        <v>5000</v>
      </c>
      <c r="M8" s="76">
        <f t="shared" si="8"/>
        <v>5000</v>
      </c>
      <c r="N8" s="76">
        <f t="shared" si="8"/>
        <v>5000</v>
      </c>
      <c r="O8" s="76">
        <f t="shared" si="8"/>
        <v>5000</v>
      </c>
      <c r="P8" s="76">
        <f t="shared" si="8"/>
        <v>5000</v>
      </c>
      <c r="Q8" s="76">
        <f t="shared" si="8"/>
        <v>5000</v>
      </c>
      <c r="R8" s="76">
        <f t="shared" si="8"/>
        <v>5000</v>
      </c>
      <c r="S8" s="76">
        <f t="shared" si="8"/>
        <v>5000</v>
      </c>
      <c r="T8" s="76">
        <f t="shared" si="8"/>
        <v>5000</v>
      </c>
      <c r="U8" s="103">
        <f t="shared" ref="U8" si="9">SUM(C8:T8)</f>
        <v>55000</v>
      </c>
    </row>
    <row r="9" spans="1:21" ht="15.75" customHeight="1" x14ac:dyDescent="0.25">
      <c r="A9" s="50"/>
      <c r="B9" s="11" t="s">
        <v>70</v>
      </c>
      <c r="C9" s="41"/>
      <c r="D9" s="41"/>
      <c r="E9" s="41"/>
      <c r="F9" s="41"/>
      <c r="G9" s="41"/>
      <c r="H9" s="41"/>
      <c r="I9" s="41"/>
      <c r="J9" s="41">
        <v>0.5</v>
      </c>
      <c r="K9" s="41">
        <v>0.5</v>
      </c>
      <c r="L9" s="41">
        <v>0.5</v>
      </c>
      <c r="M9" s="41">
        <v>0.5</v>
      </c>
      <c r="N9" s="41">
        <v>0.5</v>
      </c>
      <c r="O9" s="41">
        <v>0.5</v>
      </c>
      <c r="P9" s="41">
        <v>0.5</v>
      </c>
      <c r="Q9" s="41">
        <v>0.5</v>
      </c>
      <c r="R9" s="41">
        <v>0.5</v>
      </c>
      <c r="S9" s="41">
        <v>0.5</v>
      </c>
      <c r="T9" s="41">
        <v>0.5</v>
      </c>
      <c r="U9" s="43"/>
    </row>
    <row r="10" spans="1:21" ht="15.75" customHeight="1" x14ac:dyDescent="0.25">
      <c r="A10" s="50"/>
      <c r="B10" s="11" t="s">
        <v>57</v>
      </c>
      <c r="C10" s="41"/>
      <c r="D10" s="41"/>
      <c r="E10" s="41"/>
      <c r="F10" s="41"/>
      <c r="G10" s="41"/>
      <c r="H10" s="41"/>
      <c r="I10" s="41"/>
      <c r="J10" s="41">
        <v>10000</v>
      </c>
      <c r="K10" s="41">
        <v>10000</v>
      </c>
      <c r="L10" s="41">
        <v>10000</v>
      </c>
      <c r="M10" s="41">
        <v>10000</v>
      </c>
      <c r="N10" s="41">
        <v>10000</v>
      </c>
      <c r="O10" s="41">
        <v>10000</v>
      </c>
      <c r="P10" s="41">
        <v>10000</v>
      </c>
      <c r="Q10" s="41">
        <v>10000</v>
      </c>
      <c r="R10" s="41">
        <v>10000</v>
      </c>
      <c r="S10" s="41">
        <v>10000</v>
      </c>
      <c r="T10" s="41">
        <v>10000</v>
      </c>
      <c r="U10" s="43"/>
    </row>
    <row r="11" spans="1:21" ht="16.95" customHeight="1" x14ac:dyDescent="0.25">
      <c r="A11" s="49">
        <v>3</v>
      </c>
      <c r="B11" s="62" t="s">
        <v>77</v>
      </c>
      <c r="C11" s="76"/>
      <c r="D11" s="76"/>
      <c r="E11" s="76"/>
      <c r="F11" s="76"/>
      <c r="G11" s="76"/>
      <c r="H11" s="76"/>
      <c r="I11" s="76"/>
      <c r="J11" s="76">
        <f>J12*J13</f>
        <v>5000</v>
      </c>
      <c r="K11" s="76">
        <f t="shared" ref="K11:T11" si="10">K12*K13</f>
        <v>5000</v>
      </c>
      <c r="L11" s="76">
        <f t="shared" si="10"/>
        <v>5000</v>
      </c>
      <c r="M11" s="76">
        <f t="shared" si="10"/>
        <v>5000</v>
      </c>
      <c r="N11" s="76">
        <f t="shared" si="10"/>
        <v>5000</v>
      </c>
      <c r="O11" s="76">
        <f t="shared" si="10"/>
        <v>5000</v>
      </c>
      <c r="P11" s="76">
        <f t="shared" si="10"/>
        <v>5000</v>
      </c>
      <c r="Q11" s="76">
        <f t="shared" si="10"/>
        <v>5000</v>
      </c>
      <c r="R11" s="76">
        <f t="shared" si="10"/>
        <v>5000</v>
      </c>
      <c r="S11" s="76">
        <f t="shared" si="10"/>
        <v>5000</v>
      </c>
      <c r="T11" s="76">
        <f t="shared" si="10"/>
        <v>5000</v>
      </c>
      <c r="U11" s="103">
        <f t="shared" ref="U11" si="11">SUM(C11:T11)</f>
        <v>55000</v>
      </c>
    </row>
    <row r="12" spans="1:21" ht="16.95" customHeight="1" x14ac:dyDescent="0.25">
      <c r="A12" s="50"/>
      <c r="B12" s="11" t="s">
        <v>70</v>
      </c>
      <c r="C12" s="41"/>
      <c r="D12" s="41"/>
      <c r="E12" s="41"/>
      <c r="F12" s="41"/>
      <c r="G12" s="41"/>
      <c r="H12" s="41"/>
      <c r="I12" s="41"/>
      <c r="J12" s="41">
        <v>0.5</v>
      </c>
      <c r="K12" s="41">
        <v>0.5</v>
      </c>
      <c r="L12" s="41">
        <v>0.5</v>
      </c>
      <c r="M12" s="41">
        <v>0.5</v>
      </c>
      <c r="N12" s="41">
        <v>0.5</v>
      </c>
      <c r="O12" s="41">
        <v>0.5</v>
      </c>
      <c r="P12" s="41">
        <v>0.5</v>
      </c>
      <c r="Q12" s="41">
        <v>0.5</v>
      </c>
      <c r="R12" s="41">
        <v>0.5</v>
      </c>
      <c r="S12" s="41">
        <v>0.5</v>
      </c>
      <c r="T12" s="41">
        <v>0.5</v>
      </c>
      <c r="U12" s="43"/>
    </row>
    <row r="13" spans="1:21" ht="16.95" customHeight="1" x14ac:dyDescent="0.25">
      <c r="A13" s="50"/>
      <c r="B13" s="11" t="s">
        <v>57</v>
      </c>
      <c r="C13" s="41"/>
      <c r="D13" s="41"/>
      <c r="E13" s="41"/>
      <c r="F13" s="41"/>
      <c r="G13" s="41"/>
      <c r="H13" s="41"/>
      <c r="I13" s="41"/>
      <c r="J13" s="41">
        <v>10000</v>
      </c>
      <c r="K13" s="41">
        <v>10000</v>
      </c>
      <c r="L13" s="41">
        <v>10000</v>
      </c>
      <c r="M13" s="41">
        <v>10000</v>
      </c>
      <c r="N13" s="41">
        <v>10000</v>
      </c>
      <c r="O13" s="41">
        <v>10000</v>
      </c>
      <c r="P13" s="41">
        <v>10000</v>
      </c>
      <c r="Q13" s="41">
        <v>10000</v>
      </c>
      <c r="R13" s="41">
        <v>10000</v>
      </c>
      <c r="S13" s="41">
        <v>10000</v>
      </c>
      <c r="T13" s="41">
        <v>10000</v>
      </c>
      <c r="U13" s="43"/>
    </row>
    <row r="14" spans="1:21" ht="15.75" customHeight="1" x14ac:dyDescent="0.25">
      <c r="A14" s="49">
        <v>4</v>
      </c>
      <c r="B14" s="62" t="s">
        <v>78</v>
      </c>
      <c r="C14" s="76"/>
      <c r="D14" s="76"/>
      <c r="E14" s="76"/>
      <c r="F14" s="76"/>
      <c r="G14" s="76"/>
      <c r="H14" s="76"/>
      <c r="I14" s="76"/>
      <c r="J14" s="76">
        <f>J15*J16</f>
        <v>59400</v>
      </c>
      <c r="K14" s="76">
        <f t="shared" ref="K14:T14" si="12">K15*K16</f>
        <v>59400</v>
      </c>
      <c r="L14" s="76">
        <f t="shared" si="12"/>
        <v>59400</v>
      </c>
      <c r="M14" s="76">
        <f t="shared" si="12"/>
        <v>59400</v>
      </c>
      <c r="N14" s="76">
        <f t="shared" si="12"/>
        <v>59400</v>
      </c>
      <c r="O14" s="76">
        <f t="shared" si="12"/>
        <v>59400</v>
      </c>
      <c r="P14" s="76">
        <f t="shared" si="12"/>
        <v>59400</v>
      </c>
      <c r="Q14" s="76">
        <f t="shared" si="12"/>
        <v>59400</v>
      </c>
      <c r="R14" s="76">
        <f t="shared" si="12"/>
        <v>59400</v>
      </c>
      <c r="S14" s="76">
        <f t="shared" si="12"/>
        <v>59400</v>
      </c>
      <c r="T14" s="76">
        <f t="shared" si="12"/>
        <v>59400</v>
      </c>
      <c r="U14" s="103">
        <f t="shared" ref="U14" si="13">SUM(C14:T14)</f>
        <v>653400</v>
      </c>
    </row>
    <row r="15" spans="1:21" ht="15.75" customHeight="1" x14ac:dyDescent="0.25">
      <c r="A15" s="50"/>
      <c r="B15" s="11" t="s">
        <v>70</v>
      </c>
      <c r="C15" s="41"/>
      <c r="D15" s="41"/>
      <c r="E15" s="41"/>
      <c r="F15" s="41"/>
      <c r="G15" s="41"/>
      <c r="H15" s="41"/>
      <c r="I15" s="41"/>
      <c r="J15" s="41">
        <f>12*1.5</f>
        <v>18</v>
      </c>
      <c r="K15" s="41">
        <f t="shared" ref="K15:T15" si="14">12*1.5</f>
        <v>18</v>
      </c>
      <c r="L15" s="41">
        <f t="shared" si="14"/>
        <v>18</v>
      </c>
      <c r="M15" s="41">
        <f t="shared" si="14"/>
        <v>18</v>
      </c>
      <c r="N15" s="41">
        <f t="shared" si="14"/>
        <v>18</v>
      </c>
      <c r="O15" s="41">
        <f t="shared" si="14"/>
        <v>18</v>
      </c>
      <c r="P15" s="41">
        <f t="shared" si="14"/>
        <v>18</v>
      </c>
      <c r="Q15" s="41">
        <f t="shared" si="14"/>
        <v>18</v>
      </c>
      <c r="R15" s="41">
        <f t="shared" si="14"/>
        <v>18</v>
      </c>
      <c r="S15" s="41">
        <f t="shared" si="14"/>
        <v>18</v>
      </c>
      <c r="T15" s="41">
        <f t="shared" si="14"/>
        <v>18</v>
      </c>
      <c r="U15" s="43"/>
    </row>
    <row r="16" spans="1:21" ht="15.75" customHeight="1" x14ac:dyDescent="0.25">
      <c r="A16" s="50"/>
      <c r="B16" s="11" t="s">
        <v>57</v>
      </c>
      <c r="C16" s="41"/>
      <c r="D16" s="41"/>
      <c r="E16" s="41"/>
      <c r="F16" s="41"/>
      <c r="G16" s="41"/>
      <c r="H16" s="41"/>
      <c r="I16" s="41"/>
      <c r="J16" s="41">
        <v>3300</v>
      </c>
      <c r="K16" s="41">
        <v>3300</v>
      </c>
      <c r="L16" s="41">
        <v>3300</v>
      </c>
      <c r="M16" s="41">
        <v>3300</v>
      </c>
      <c r="N16" s="41">
        <v>3300</v>
      </c>
      <c r="O16" s="41">
        <v>3300</v>
      </c>
      <c r="P16" s="41">
        <v>3300</v>
      </c>
      <c r="Q16" s="41">
        <v>3300</v>
      </c>
      <c r="R16" s="41">
        <v>3300</v>
      </c>
      <c r="S16" s="41">
        <v>3300</v>
      </c>
      <c r="T16" s="41">
        <v>3300</v>
      </c>
      <c r="U16" s="43"/>
    </row>
    <row r="17" spans="1:21" ht="15.75" customHeight="1" x14ac:dyDescent="0.25">
      <c r="A17" s="49">
        <v>5</v>
      </c>
      <c r="B17" s="62" t="s">
        <v>79</v>
      </c>
      <c r="C17" s="76"/>
      <c r="D17" s="76"/>
      <c r="E17" s="76"/>
      <c r="F17" s="76"/>
      <c r="G17" s="76"/>
      <c r="H17" s="76"/>
      <c r="I17" s="76"/>
      <c r="J17" s="76">
        <f>J18*J19</f>
        <v>150000</v>
      </c>
      <c r="K17" s="76">
        <f t="shared" ref="K17:T17" si="15">K18*K19</f>
        <v>150000</v>
      </c>
      <c r="L17" s="76">
        <f t="shared" si="15"/>
        <v>150000</v>
      </c>
      <c r="M17" s="76">
        <f t="shared" si="15"/>
        <v>150000</v>
      </c>
      <c r="N17" s="76">
        <f t="shared" si="15"/>
        <v>150000</v>
      </c>
      <c r="O17" s="76">
        <f t="shared" si="15"/>
        <v>150000</v>
      </c>
      <c r="P17" s="76">
        <f t="shared" si="15"/>
        <v>150000</v>
      </c>
      <c r="Q17" s="76">
        <f t="shared" si="15"/>
        <v>150000</v>
      </c>
      <c r="R17" s="76">
        <f t="shared" si="15"/>
        <v>150000</v>
      </c>
      <c r="S17" s="76">
        <f t="shared" si="15"/>
        <v>150000</v>
      </c>
      <c r="T17" s="76">
        <f t="shared" si="15"/>
        <v>150000</v>
      </c>
      <c r="U17" s="103">
        <f t="shared" ref="U17" si="16">SUM(C17:T17)</f>
        <v>1650000</v>
      </c>
    </row>
    <row r="18" spans="1:21" ht="15.75" customHeight="1" x14ac:dyDescent="0.25">
      <c r="A18" s="50"/>
      <c r="B18" s="11" t="s">
        <v>70</v>
      </c>
      <c r="C18" s="41"/>
      <c r="D18" s="41"/>
      <c r="E18" s="41"/>
      <c r="F18" s="41"/>
      <c r="G18" s="41"/>
      <c r="H18" s="41"/>
      <c r="I18" s="41"/>
      <c r="J18" s="41">
        <v>1.5</v>
      </c>
      <c r="K18" s="41">
        <v>1.5</v>
      </c>
      <c r="L18" s="41">
        <v>1.5</v>
      </c>
      <c r="M18" s="41">
        <v>1.5</v>
      </c>
      <c r="N18" s="41">
        <v>1.5</v>
      </c>
      <c r="O18" s="41">
        <v>1.5</v>
      </c>
      <c r="P18" s="41">
        <v>1.5</v>
      </c>
      <c r="Q18" s="41">
        <v>1.5</v>
      </c>
      <c r="R18" s="41">
        <v>1.5</v>
      </c>
      <c r="S18" s="41">
        <v>1.5</v>
      </c>
      <c r="T18" s="41">
        <v>1.5</v>
      </c>
      <c r="U18" s="43"/>
    </row>
    <row r="19" spans="1:21" ht="15.75" customHeight="1" x14ac:dyDescent="0.25">
      <c r="A19" s="50"/>
      <c r="B19" s="11" t="s">
        <v>57</v>
      </c>
      <c r="C19" s="41"/>
      <c r="D19" s="41"/>
      <c r="E19" s="41"/>
      <c r="F19" s="41"/>
      <c r="G19" s="41"/>
      <c r="H19" s="41"/>
      <c r="I19" s="41"/>
      <c r="J19" s="41">
        <v>100000</v>
      </c>
      <c r="K19" s="41">
        <v>100000</v>
      </c>
      <c r="L19" s="41">
        <v>100000</v>
      </c>
      <c r="M19" s="41">
        <v>100000</v>
      </c>
      <c r="N19" s="41">
        <v>100000</v>
      </c>
      <c r="O19" s="41">
        <v>100000</v>
      </c>
      <c r="P19" s="41">
        <v>100000</v>
      </c>
      <c r="Q19" s="41">
        <v>100000</v>
      </c>
      <c r="R19" s="41">
        <v>100000</v>
      </c>
      <c r="S19" s="41">
        <v>100000</v>
      </c>
      <c r="T19" s="41">
        <v>100000</v>
      </c>
      <c r="U19" s="43"/>
    </row>
    <row r="20" spans="1:21" ht="15.75" customHeight="1" x14ac:dyDescent="0.25">
      <c r="A20" s="49">
        <v>6</v>
      </c>
      <c r="B20" s="62" t="s">
        <v>83</v>
      </c>
      <c r="C20" s="76"/>
      <c r="D20" s="76"/>
      <c r="E20" s="76"/>
      <c r="F20" s="76"/>
      <c r="G20" s="76"/>
      <c r="H20" s="76"/>
      <c r="I20" s="76"/>
      <c r="J20" s="76">
        <f>J21*J22</f>
        <v>300000</v>
      </c>
      <c r="K20" s="76">
        <f t="shared" ref="K20:T20" si="17">K21*K22</f>
        <v>300000</v>
      </c>
      <c r="L20" s="76">
        <f t="shared" si="17"/>
        <v>300000</v>
      </c>
      <c r="M20" s="76">
        <f t="shared" si="17"/>
        <v>300000</v>
      </c>
      <c r="N20" s="76">
        <f t="shared" si="17"/>
        <v>300000</v>
      </c>
      <c r="O20" s="76">
        <f t="shared" si="17"/>
        <v>300000</v>
      </c>
      <c r="P20" s="76">
        <f t="shared" si="17"/>
        <v>300000</v>
      </c>
      <c r="Q20" s="76">
        <f t="shared" si="17"/>
        <v>300000</v>
      </c>
      <c r="R20" s="76">
        <f t="shared" si="17"/>
        <v>300000</v>
      </c>
      <c r="S20" s="76">
        <f t="shared" si="17"/>
        <v>300000</v>
      </c>
      <c r="T20" s="76">
        <f t="shared" si="17"/>
        <v>300000</v>
      </c>
      <c r="U20" s="103">
        <f t="shared" ref="U20" si="18">SUM(C20:T20)</f>
        <v>3300000</v>
      </c>
    </row>
    <row r="21" spans="1:21" ht="15.75" customHeight="1" x14ac:dyDescent="0.25">
      <c r="A21" s="50"/>
      <c r="B21" s="11" t="s">
        <v>70</v>
      </c>
      <c r="C21" s="41"/>
      <c r="D21" s="41"/>
      <c r="E21" s="41"/>
      <c r="F21" s="41"/>
      <c r="G21" s="41"/>
      <c r="H21" s="41"/>
      <c r="I21" s="41"/>
      <c r="J21" s="41">
        <v>100000</v>
      </c>
      <c r="K21" s="41">
        <v>100000</v>
      </c>
      <c r="L21" s="41">
        <v>100000</v>
      </c>
      <c r="M21" s="41">
        <v>100000</v>
      </c>
      <c r="N21" s="41">
        <v>100000</v>
      </c>
      <c r="O21" s="41">
        <v>100000</v>
      </c>
      <c r="P21" s="41">
        <v>100000</v>
      </c>
      <c r="Q21" s="41">
        <v>100000</v>
      </c>
      <c r="R21" s="41">
        <v>100000</v>
      </c>
      <c r="S21" s="41">
        <v>100000</v>
      </c>
      <c r="T21" s="41">
        <v>100000</v>
      </c>
      <c r="U21" s="43"/>
    </row>
    <row r="22" spans="1:21" ht="15.75" customHeight="1" x14ac:dyDescent="0.25">
      <c r="A22" s="50"/>
      <c r="B22" s="11" t="s">
        <v>57</v>
      </c>
      <c r="C22" s="41"/>
      <c r="D22" s="41"/>
      <c r="E22" s="41"/>
      <c r="F22" s="41"/>
      <c r="G22" s="41"/>
      <c r="H22" s="41"/>
      <c r="I22" s="41"/>
      <c r="J22" s="102">
        <v>3</v>
      </c>
      <c r="K22" s="102">
        <v>3</v>
      </c>
      <c r="L22" s="102">
        <v>3</v>
      </c>
      <c r="M22" s="102">
        <v>3</v>
      </c>
      <c r="N22" s="102">
        <v>3</v>
      </c>
      <c r="O22" s="102">
        <v>3</v>
      </c>
      <c r="P22" s="102">
        <v>3</v>
      </c>
      <c r="Q22" s="102">
        <v>3</v>
      </c>
      <c r="R22" s="102">
        <v>3</v>
      </c>
      <c r="S22" s="102">
        <v>3</v>
      </c>
      <c r="T22" s="102">
        <v>3</v>
      </c>
      <c r="U22" s="43"/>
    </row>
    <row r="23" spans="1:21" ht="31.2" customHeight="1" x14ac:dyDescent="0.25">
      <c r="A23" s="49">
        <v>7</v>
      </c>
      <c r="B23" s="62" t="s">
        <v>74</v>
      </c>
      <c r="C23" s="76"/>
      <c r="D23" s="76"/>
      <c r="E23" s="76"/>
      <c r="F23" s="76"/>
      <c r="G23" s="76"/>
      <c r="H23" s="76"/>
      <c r="I23" s="76"/>
      <c r="J23" s="76"/>
      <c r="K23" s="76">
        <f>K24*K25</f>
        <v>3000000</v>
      </c>
      <c r="L23" s="76">
        <f t="shared" ref="L23:N23" si="19">L24*L25</f>
        <v>3000000</v>
      </c>
      <c r="M23" s="76">
        <f t="shared" si="19"/>
        <v>3000000</v>
      </c>
      <c r="N23" s="76">
        <f t="shared" si="19"/>
        <v>1500000</v>
      </c>
      <c r="O23" s="76"/>
      <c r="P23" s="76"/>
      <c r="Q23" s="76"/>
      <c r="R23" s="76"/>
      <c r="S23" s="76"/>
      <c r="T23" s="76"/>
      <c r="U23" s="103">
        <f t="shared" ref="U23" si="20">SUM(C23:T23)</f>
        <v>10500000</v>
      </c>
    </row>
    <row r="24" spans="1:21" ht="18" customHeight="1" x14ac:dyDescent="0.25">
      <c r="A24" s="50"/>
      <c r="B24" s="11" t="s">
        <v>70</v>
      </c>
      <c r="C24" s="41"/>
      <c r="D24" s="41"/>
      <c r="E24" s="41"/>
      <c r="F24" s="41"/>
      <c r="G24" s="41"/>
      <c r="H24" s="41"/>
      <c r="I24" s="41"/>
      <c r="J24" s="41"/>
      <c r="K24" s="41">
        <v>1500000</v>
      </c>
      <c r="L24" s="41">
        <v>1500000</v>
      </c>
      <c r="M24" s="41">
        <v>1500000</v>
      </c>
      <c r="N24" s="41">
        <v>1500000</v>
      </c>
      <c r="O24" s="41"/>
      <c r="P24" s="41"/>
      <c r="Q24" s="41"/>
      <c r="R24" s="41"/>
      <c r="S24" s="41"/>
      <c r="T24" s="41"/>
      <c r="U24" s="43"/>
    </row>
    <row r="25" spans="1:21" ht="19.95" customHeight="1" x14ac:dyDescent="0.25">
      <c r="A25" s="50"/>
      <c r="B25" s="11" t="s">
        <v>57</v>
      </c>
      <c r="C25" s="41"/>
      <c r="D25" s="41"/>
      <c r="E25" s="41"/>
      <c r="F25" s="41"/>
      <c r="G25" s="41"/>
      <c r="H25" s="41"/>
      <c r="I25" s="41"/>
      <c r="J25" s="41"/>
      <c r="K25" s="102">
        <v>2</v>
      </c>
      <c r="L25" s="102">
        <v>2</v>
      </c>
      <c r="M25" s="102">
        <v>2</v>
      </c>
      <c r="N25" s="102">
        <v>1</v>
      </c>
      <c r="O25" s="41"/>
      <c r="P25" s="41"/>
      <c r="Q25" s="41"/>
      <c r="R25" s="41"/>
      <c r="S25" s="41"/>
      <c r="T25" s="41"/>
      <c r="U25" s="43"/>
    </row>
    <row r="26" spans="1:21" ht="33.6" customHeight="1" x14ac:dyDescent="0.25">
      <c r="A26" s="49">
        <v>8</v>
      </c>
      <c r="B26" s="62" t="s">
        <v>75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>
        <f>O27*O28</f>
        <v>2000000</v>
      </c>
      <c r="P26" s="76">
        <f t="shared" ref="P26:T26" si="21">P27*P28</f>
        <v>2000000</v>
      </c>
      <c r="Q26" s="76">
        <f t="shared" si="21"/>
        <v>2500000</v>
      </c>
      <c r="R26" s="76">
        <f t="shared" si="21"/>
        <v>2500000</v>
      </c>
      <c r="S26" s="76">
        <f t="shared" si="21"/>
        <v>2500000</v>
      </c>
      <c r="T26" s="76">
        <f t="shared" si="21"/>
        <v>2500000</v>
      </c>
      <c r="U26" s="103">
        <f t="shared" ref="U26" si="22">SUM(C26:T26)</f>
        <v>14000000</v>
      </c>
    </row>
    <row r="27" spans="1:21" ht="15" customHeight="1" x14ac:dyDescent="0.25">
      <c r="A27" s="50"/>
      <c r="B27" s="11" t="s">
        <v>70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>
        <v>500000</v>
      </c>
      <c r="P27" s="41">
        <v>500000</v>
      </c>
      <c r="Q27" s="41">
        <v>500000</v>
      </c>
      <c r="R27" s="41">
        <v>500000</v>
      </c>
      <c r="S27" s="41">
        <v>500000</v>
      </c>
      <c r="T27" s="41">
        <v>500000</v>
      </c>
      <c r="U27" s="43"/>
    </row>
    <row r="28" spans="1:21" ht="21" customHeight="1" x14ac:dyDescent="0.25">
      <c r="A28" s="50"/>
      <c r="B28" s="11" t="s">
        <v>57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102">
        <v>4</v>
      </c>
      <c r="P28" s="102">
        <v>4</v>
      </c>
      <c r="Q28" s="102">
        <v>5</v>
      </c>
      <c r="R28" s="102">
        <v>5</v>
      </c>
      <c r="S28" s="102">
        <v>5</v>
      </c>
      <c r="T28" s="102">
        <v>5</v>
      </c>
      <c r="U28" s="43"/>
    </row>
    <row r="29" spans="1:21" ht="15.75" customHeight="1" x14ac:dyDescent="0.25">
      <c r="A29" s="49">
        <v>9</v>
      </c>
      <c r="B29" s="62" t="s">
        <v>76</v>
      </c>
      <c r="C29" s="76"/>
      <c r="D29" s="76"/>
      <c r="E29" s="76"/>
      <c r="F29" s="76"/>
      <c r="G29" s="76"/>
      <c r="H29" s="76"/>
      <c r="I29" s="76"/>
      <c r="J29" s="76">
        <f>J30*J31</f>
        <v>500</v>
      </c>
      <c r="K29" s="76">
        <f t="shared" ref="K29:T29" si="23">K30*K31</f>
        <v>500</v>
      </c>
      <c r="L29" s="76">
        <f t="shared" si="23"/>
        <v>500</v>
      </c>
      <c r="M29" s="76">
        <f t="shared" si="23"/>
        <v>500</v>
      </c>
      <c r="N29" s="76">
        <f t="shared" si="23"/>
        <v>500</v>
      </c>
      <c r="O29" s="76">
        <f t="shared" si="23"/>
        <v>500</v>
      </c>
      <c r="P29" s="76">
        <f t="shared" si="23"/>
        <v>500</v>
      </c>
      <c r="Q29" s="76">
        <f t="shared" si="23"/>
        <v>500</v>
      </c>
      <c r="R29" s="76">
        <f t="shared" si="23"/>
        <v>500</v>
      </c>
      <c r="S29" s="76">
        <f t="shared" si="23"/>
        <v>500</v>
      </c>
      <c r="T29" s="76">
        <f t="shared" si="23"/>
        <v>500</v>
      </c>
      <c r="U29" s="103">
        <f t="shared" ref="U29" si="24">SUM(C29:T29)</f>
        <v>5500</v>
      </c>
    </row>
    <row r="30" spans="1:21" ht="15.75" customHeight="1" x14ac:dyDescent="0.25">
      <c r="A30" s="50"/>
      <c r="B30" s="11" t="s">
        <v>70</v>
      </c>
      <c r="C30" s="41"/>
      <c r="D30" s="41"/>
      <c r="E30" s="41"/>
      <c r="F30" s="41"/>
      <c r="G30" s="41"/>
      <c r="H30" s="41"/>
      <c r="I30" s="41"/>
      <c r="J30" s="41">
        <v>100</v>
      </c>
      <c r="K30" s="41">
        <v>100</v>
      </c>
      <c r="L30" s="41">
        <v>100</v>
      </c>
      <c r="M30" s="41">
        <v>100</v>
      </c>
      <c r="N30" s="41">
        <v>100</v>
      </c>
      <c r="O30" s="41">
        <v>100</v>
      </c>
      <c r="P30" s="41">
        <v>100</v>
      </c>
      <c r="Q30" s="41">
        <v>100</v>
      </c>
      <c r="R30" s="41">
        <v>100</v>
      </c>
      <c r="S30" s="41">
        <v>100</v>
      </c>
      <c r="T30" s="41">
        <v>100</v>
      </c>
      <c r="U30" s="43"/>
    </row>
    <row r="31" spans="1:21" ht="15.75" customHeight="1" x14ac:dyDescent="0.25">
      <c r="A31" s="50"/>
      <c r="B31" s="11" t="s">
        <v>57</v>
      </c>
      <c r="C31" s="41"/>
      <c r="D31" s="41"/>
      <c r="E31" s="41"/>
      <c r="F31" s="41"/>
      <c r="G31" s="41"/>
      <c r="H31" s="41"/>
      <c r="I31" s="41"/>
      <c r="J31" s="102">
        <v>5</v>
      </c>
      <c r="K31" s="102">
        <v>5</v>
      </c>
      <c r="L31" s="102">
        <v>5</v>
      </c>
      <c r="M31" s="102">
        <v>5</v>
      </c>
      <c r="N31" s="102">
        <v>5</v>
      </c>
      <c r="O31" s="102">
        <v>5</v>
      </c>
      <c r="P31" s="102">
        <v>5</v>
      </c>
      <c r="Q31" s="102">
        <v>5</v>
      </c>
      <c r="R31" s="102">
        <v>5</v>
      </c>
      <c r="S31" s="102">
        <v>5</v>
      </c>
      <c r="T31" s="102">
        <v>5</v>
      </c>
      <c r="U31" s="43"/>
    </row>
    <row r="32" spans="1:21" ht="15.75" customHeight="1" x14ac:dyDescent="0.25">
      <c r="A32" s="49">
        <v>10</v>
      </c>
      <c r="B32" s="62" t="s">
        <v>98</v>
      </c>
      <c r="C32" s="76"/>
      <c r="D32" s="76"/>
      <c r="E32" s="76"/>
      <c r="F32" s="76"/>
      <c r="G32" s="76"/>
      <c r="H32" s="76"/>
      <c r="I32" s="76"/>
      <c r="J32" s="76">
        <f>J33*J34</f>
        <v>1800</v>
      </c>
      <c r="K32" s="76">
        <f t="shared" ref="K32:T32" si="25">K33*K34</f>
        <v>2100</v>
      </c>
      <c r="L32" s="76">
        <f t="shared" si="25"/>
        <v>2400</v>
      </c>
      <c r="M32" s="76">
        <f t="shared" si="25"/>
        <v>2400</v>
      </c>
      <c r="N32" s="76">
        <f t="shared" si="25"/>
        <v>2400</v>
      </c>
      <c r="O32" s="76">
        <f t="shared" si="25"/>
        <v>2400</v>
      </c>
      <c r="P32" s="76">
        <f t="shared" si="25"/>
        <v>2400</v>
      </c>
      <c r="Q32" s="76">
        <f t="shared" si="25"/>
        <v>2400</v>
      </c>
      <c r="R32" s="76">
        <f t="shared" si="25"/>
        <v>2400</v>
      </c>
      <c r="S32" s="76">
        <f t="shared" si="25"/>
        <v>2400</v>
      </c>
      <c r="T32" s="76">
        <f t="shared" si="25"/>
        <v>2400</v>
      </c>
      <c r="U32" s="103">
        <f t="shared" ref="U32" si="26">SUM(C32:T32)</f>
        <v>25500</v>
      </c>
    </row>
    <row r="33" spans="1:21" ht="15.75" customHeight="1" x14ac:dyDescent="0.25">
      <c r="A33" s="50"/>
      <c r="B33" s="11" t="s">
        <v>70</v>
      </c>
      <c r="C33" s="41"/>
      <c r="D33" s="41"/>
      <c r="E33" s="41"/>
      <c r="F33" s="41"/>
      <c r="G33" s="41"/>
      <c r="H33" s="41"/>
      <c r="I33" s="41"/>
      <c r="J33" s="41">
        <v>300</v>
      </c>
      <c r="K33" s="41">
        <v>300</v>
      </c>
      <c r="L33" s="41">
        <v>300</v>
      </c>
      <c r="M33" s="41">
        <v>300</v>
      </c>
      <c r="N33" s="41">
        <v>300</v>
      </c>
      <c r="O33" s="41">
        <v>300</v>
      </c>
      <c r="P33" s="41">
        <v>300</v>
      </c>
      <c r="Q33" s="41">
        <v>300</v>
      </c>
      <c r="R33" s="41">
        <v>300</v>
      </c>
      <c r="S33" s="41">
        <v>300</v>
      </c>
      <c r="T33" s="41">
        <v>300</v>
      </c>
      <c r="U33" s="43"/>
    </row>
    <row r="34" spans="1:21" ht="15.75" customHeight="1" x14ac:dyDescent="0.25">
      <c r="A34" s="50"/>
      <c r="B34" s="11" t="s">
        <v>57</v>
      </c>
      <c r="C34" s="41"/>
      <c r="D34" s="41"/>
      <c r="E34" s="41"/>
      <c r="F34" s="41"/>
      <c r="G34" s="41"/>
      <c r="H34" s="41"/>
      <c r="I34" s="41"/>
      <c r="J34" s="102">
        <v>6</v>
      </c>
      <c r="K34" s="102">
        <v>7</v>
      </c>
      <c r="L34" s="102">
        <v>8</v>
      </c>
      <c r="M34" s="102">
        <v>8</v>
      </c>
      <c r="N34" s="102">
        <v>8</v>
      </c>
      <c r="O34" s="102">
        <v>8</v>
      </c>
      <c r="P34" s="102">
        <v>8</v>
      </c>
      <c r="Q34" s="102">
        <v>8</v>
      </c>
      <c r="R34" s="102">
        <v>8</v>
      </c>
      <c r="S34" s="102">
        <v>8</v>
      </c>
      <c r="T34" s="102">
        <v>8</v>
      </c>
      <c r="U34" s="43"/>
    </row>
    <row r="35" spans="1:21" ht="15.75" customHeight="1" x14ac:dyDescent="0.25">
      <c r="A35" s="49">
        <v>11</v>
      </c>
      <c r="B35" s="62" t="s">
        <v>80</v>
      </c>
      <c r="C35" s="76"/>
      <c r="D35" s="76"/>
      <c r="E35" s="76"/>
      <c r="F35" s="76"/>
      <c r="G35" s="76"/>
      <c r="H35" s="76"/>
      <c r="I35" s="76"/>
      <c r="J35" s="76">
        <f>J36*J37</f>
        <v>500</v>
      </c>
      <c r="K35" s="76">
        <f t="shared" ref="K35:T35" si="27">K36*K37</f>
        <v>500</v>
      </c>
      <c r="L35" s="76">
        <f t="shared" si="27"/>
        <v>500</v>
      </c>
      <c r="M35" s="76">
        <f t="shared" si="27"/>
        <v>500</v>
      </c>
      <c r="N35" s="76">
        <f t="shared" si="27"/>
        <v>500</v>
      </c>
      <c r="O35" s="76">
        <f t="shared" si="27"/>
        <v>500</v>
      </c>
      <c r="P35" s="76">
        <f t="shared" si="27"/>
        <v>500</v>
      </c>
      <c r="Q35" s="76">
        <f t="shared" si="27"/>
        <v>500</v>
      </c>
      <c r="R35" s="76">
        <f t="shared" si="27"/>
        <v>500</v>
      </c>
      <c r="S35" s="76">
        <f t="shared" si="27"/>
        <v>500</v>
      </c>
      <c r="T35" s="76">
        <f t="shared" si="27"/>
        <v>500</v>
      </c>
      <c r="U35" s="103">
        <f t="shared" ref="U35" si="28">SUM(C35:T35)</f>
        <v>5500</v>
      </c>
    </row>
    <row r="36" spans="1:21" ht="15.75" customHeight="1" x14ac:dyDescent="0.25">
      <c r="A36" s="50"/>
      <c r="B36" s="11" t="s">
        <v>70</v>
      </c>
      <c r="C36" s="41"/>
      <c r="D36" s="41"/>
      <c r="E36" s="41"/>
      <c r="F36" s="41"/>
      <c r="G36" s="41"/>
      <c r="H36" s="41"/>
      <c r="I36" s="41"/>
      <c r="J36" s="41">
        <v>0.5</v>
      </c>
      <c r="K36" s="41">
        <v>0.5</v>
      </c>
      <c r="L36" s="41">
        <v>0.5</v>
      </c>
      <c r="M36" s="41">
        <v>0.5</v>
      </c>
      <c r="N36" s="41">
        <v>0.5</v>
      </c>
      <c r="O36" s="41">
        <v>0.5</v>
      </c>
      <c r="P36" s="41">
        <v>0.5</v>
      </c>
      <c r="Q36" s="41">
        <v>0.5</v>
      </c>
      <c r="R36" s="41">
        <v>0.5</v>
      </c>
      <c r="S36" s="41">
        <v>0.5</v>
      </c>
      <c r="T36" s="41">
        <v>0.5</v>
      </c>
      <c r="U36" s="43"/>
    </row>
    <row r="37" spans="1:21" ht="15.75" customHeight="1" x14ac:dyDescent="0.25">
      <c r="A37" s="50"/>
      <c r="B37" s="11" t="s">
        <v>57</v>
      </c>
      <c r="C37" s="41"/>
      <c r="D37" s="41"/>
      <c r="E37" s="41"/>
      <c r="F37" s="41"/>
      <c r="G37" s="41"/>
      <c r="H37" s="41"/>
      <c r="I37" s="41"/>
      <c r="J37" s="41">
        <v>1000</v>
      </c>
      <c r="K37" s="41">
        <v>1000</v>
      </c>
      <c r="L37" s="41">
        <v>1000</v>
      </c>
      <c r="M37" s="41">
        <v>1000</v>
      </c>
      <c r="N37" s="41">
        <v>1000</v>
      </c>
      <c r="O37" s="41">
        <v>1000</v>
      </c>
      <c r="P37" s="41">
        <v>1000</v>
      </c>
      <c r="Q37" s="41">
        <v>1000</v>
      </c>
      <c r="R37" s="41">
        <v>1000</v>
      </c>
      <c r="S37" s="41">
        <v>1000</v>
      </c>
      <c r="T37" s="41">
        <v>1000</v>
      </c>
      <c r="U37" s="43"/>
    </row>
    <row r="38" spans="1:21" ht="15.75" customHeight="1" x14ac:dyDescent="0.25">
      <c r="A38" s="49">
        <v>13</v>
      </c>
      <c r="B38" s="62" t="s">
        <v>81</v>
      </c>
      <c r="C38" s="76"/>
      <c r="D38" s="76"/>
      <c r="E38" s="76"/>
      <c r="F38" s="76"/>
      <c r="G38" s="76"/>
      <c r="H38" s="76"/>
      <c r="I38" s="76"/>
      <c r="J38" s="76">
        <f>J39*J40</f>
        <v>5000</v>
      </c>
      <c r="K38" s="76">
        <f t="shared" ref="K38:T38" si="29">K39*K40</f>
        <v>5000</v>
      </c>
      <c r="L38" s="76">
        <f t="shared" si="29"/>
        <v>5000</v>
      </c>
      <c r="M38" s="76">
        <f t="shared" si="29"/>
        <v>5000</v>
      </c>
      <c r="N38" s="76">
        <f t="shared" si="29"/>
        <v>5000</v>
      </c>
      <c r="O38" s="76">
        <f t="shared" si="29"/>
        <v>5000</v>
      </c>
      <c r="P38" s="76">
        <f t="shared" si="29"/>
        <v>5000</v>
      </c>
      <c r="Q38" s="76">
        <f t="shared" si="29"/>
        <v>5000</v>
      </c>
      <c r="R38" s="76">
        <f t="shared" si="29"/>
        <v>5000</v>
      </c>
      <c r="S38" s="76">
        <f t="shared" si="29"/>
        <v>5000</v>
      </c>
      <c r="T38" s="76">
        <f t="shared" si="29"/>
        <v>5000</v>
      </c>
      <c r="U38" s="103">
        <f t="shared" ref="U38" si="30">SUM(C38:T38)</f>
        <v>55000</v>
      </c>
    </row>
    <row r="39" spans="1:21" ht="15.75" customHeight="1" x14ac:dyDescent="0.25">
      <c r="A39" s="50"/>
      <c r="B39" s="11" t="s">
        <v>70</v>
      </c>
      <c r="C39" s="41"/>
      <c r="D39" s="41"/>
      <c r="E39" s="41"/>
      <c r="F39" s="41"/>
      <c r="G39" s="41"/>
      <c r="H39" s="41"/>
      <c r="I39" s="41"/>
      <c r="J39" s="41">
        <v>10</v>
      </c>
      <c r="K39" s="41">
        <v>10</v>
      </c>
      <c r="L39" s="41">
        <v>10</v>
      </c>
      <c r="M39" s="41">
        <v>10</v>
      </c>
      <c r="N39" s="41">
        <v>10</v>
      </c>
      <c r="O39" s="41">
        <v>10</v>
      </c>
      <c r="P39" s="41">
        <v>10</v>
      </c>
      <c r="Q39" s="41">
        <v>10</v>
      </c>
      <c r="R39" s="41">
        <v>10</v>
      </c>
      <c r="S39" s="41">
        <v>10</v>
      </c>
      <c r="T39" s="41">
        <v>10</v>
      </c>
      <c r="U39" s="43"/>
    </row>
    <row r="40" spans="1:21" ht="16.95" customHeight="1" x14ac:dyDescent="0.25">
      <c r="A40" s="50"/>
      <c r="B40" s="11" t="s">
        <v>57</v>
      </c>
      <c r="C40" s="41"/>
      <c r="D40" s="41"/>
      <c r="E40" s="41"/>
      <c r="F40" s="41"/>
      <c r="G40" s="41"/>
      <c r="H40" s="41"/>
      <c r="I40" s="41"/>
      <c r="J40" s="102">
        <v>500</v>
      </c>
      <c r="K40" s="102">
        <v>500</v>
      </c>
      <c r="L40" s="102">
        <v>500</v>
      </c>
      <c r="M40" s="102">
        <v>500</v>
      </c>
      <c r="N40" s="102">
        <v>500</v>
      </c>
      <c r="O40" s="102">
        <v>500</v>
      </c>
      <c r="P40" s="102">
        <v>500</v>
      </c>
      <c r="Q40" s="102">
        <v>500</v>
      </c>
      <c r="R40" s="102">
        <v>500</v>
      </c>
      <c r="S40" s="102">
        <v>500</v>
      </c>
      <c r="T40" s="102">
        <v>500</v>
      </c>
      <c r="U40" s="43"/>
    </row>
    <row r="41" spans="1:21" ht="15.75" customHeight="1" x14ac:dyDescent="0.25">
      <c r="A41" s="49">
        <v>13</v>
      </c>
      <c r="B41" s="62" t="s">
        <v>82</v>
      </c>
      <c r="C41" s="76"/>
      <c r="D41" s="76"/>
      <c r="E41" s="76"/>
      <c r="F41" s="76"/>
      <c r="G41" s="76"/>
      <c r="H41" s="76"/>
      <c r="I41" s="76"/>
      <c r="J41" s="76">
        <f>J42*J43</f>
        <v>5000</v>
      </c>
      <c r="K41" s="76">
        <f t="shared" ref="K41:T41" si="31">K42*K43</f>
        <v>5000</v>
      </c>
      <c r="L41" s="76">
        <f t="shared" si="31"/>
        <v>5000</v>
      </c>
      <c r="M41" s="76">
        <f t="shared" si="31"/>
        <v>5000</v>
      </c>
      <c r="N41" s="76">
        <f t="shared" si="31"/>
        <v>5000</v>
      </c>
      <c r="O41" s="76">
        <f t="shared" si="31"/>
        <v>5000</v>
      </c>
      <c r="P41" s="76">
        <f t="shared" si="31"/>
        <v>5000</v>
      </c>
      <c r="Q41" s="76">
        <f t="shared" si="31"/>
        <v>5000</v>
      </c>
      <c r="R41" s="76">
        <f t="shared" si="31"/>
        <v>5000</v>
      </c>
      <c r="S41" s="76">
        <f t="shared" si="31"/>
        <v>5000</v>
      </c>
      <c r="T41" s="76">
        <f t="shared" si="31"/>
        <v>5000</v>
      </c>
      <c r="U41" s="103">
        <f t="shared" ref="U41" si="32">SUM(C41:T41)</f>
        <v>55000</v>
      </c>
    </row>
    <row r="42" spans="1:21" ht="15.75" customHeight="1" x14ac:dyDescent="0.25">
      <c r="A42" s="50"/>
      <c r="B42" s="11" t="s">
        <v>70</v>
      </c>
      <c r="C42" s="41"/>
      <c r="D42" s="41"/>
      <c r="E42" s="41"/>
      <c r="F42" s="41"/>
      <c r="G42" s="41"/>
      <c r="H42" s="41"/>
      <c r="I42" s="41"/>
      <c r="J42" s="41">
        <v>200</v>
      </c>
      <c r="K42" s="41">
        <v>200</v>
      </c>
      <c r="L42" s="41">
        <v>200</v>
      </c>
      <c r="M42" s="41">
        <v>200</v>
      </c>
      <c r="N42" s="41">
        <v>200</v>
      </c>
      <c r="O42" s="41">
        <v>200</v>
      </c>
      <c r="P42" s="41">
        <v>200</v>
      </c>
      <c r="Q42" s="41">
        <v>200</v>
      </c>
      <c r="R42" s="41">
        <v>200</v>
      </c>
      <c r="S42" s="41">
        <v>200</v>
      </c>
      <c r="T42" s="41">
        <v>200</v>
      </c>
      <c r="U42" s="43"/>
    </row>
    <row r="43" spans="1:21" ht="16.95" customHeight="1" x14ac:dyDescent="0.25">
      <c r="A43" s="50"/>
      <c r="B43" s="11" t="s">
        <v>57</v>
      </c>
      <c r="C43" s="41"/>
      <c r="D43" s="41"/>
      <c r="E43" s="41"/>
      <c r="F43" s="41"/>
      <c r="G43" s="41"/>
      <c r="H43" s="41"/>
      <c r="I43" s="41"/>
      <c r="J43" s="102">
        <v>25</v>
      </c>
      <c r="K43" s="102">
        <v>25</v>
      </c>
      <c r="L43" s="102">
        <v>25</v>
      </c>
      <c r="M43" s="102">
        <v>25</v>
      </c>
      <c r="N43" s="102">
        <v>25</v>
      </c>
      <c r="O43" s="102">
        <v>25</v>
      </c>
      <c r="P43" s="102">
        <v>25</v>
      </c>
      <c r="Q43" s="102">
        <v>25</v>
      </c>
      <c r="R43" s="102">
        <v>25</v>
      </c>
      <c r="S43" s="102">
        <v>25</v>
      </c>
      <c r="T43" s="102">
        <v>25</v>
      </c>
      <c r="U43" s="43"/>
    </row>
    <row r="44" spans="1:21" ht="15.75" customHeight="1" x14ac:dyDescent="0.25">
      <c r="A44" s="48">
        <v>2</v>
      </c>
      <c r="B44" s="10" t="s">
        <v>6</v>
      </c>
      <c r="C44" s="79">
        <f>C45+C53</f>
        <v>1300.99</v>
      </c>
      <c r="D44" s="79">
        <f t="shared" ref="D44:T44" si="33">D45+D53</f>
        <v>3960</v>
      </c>
      <c r="E44" s="79">
        <f t="shared" si="33"/>
        <v>248950</v>
      </c>
      <c r="F44" s="79">
        <f t="shared" si="33"/>
        <v>248950</v>
      </c>
      <c r="G44" s="79">
        <f t="shared" si="33"/>
        <v>3006920</v>
      </c>
      <c r="H44" s="79">
        <f t="shared" si="33"/>
        <v>3006920</v>
      </c>
      <c r="I44" s="79">
        <f t="shared" si="33"/>
        <v>3421000.64</v>
      </c>
      <c r="J44" s="79">
        <f t="shared" si="33"/>
        <v>702993</v>
      </c>
      <c r="K44" s="79">
        <f t="shared" si="33"/>
        <v>1022993</v>
      </c>
      <c r="L44" s="79">
        <f t="shared" si="33"/>
        <v>1022993</v>
      </c>
      <c r="M44" s="79">
        <f t="shared" si="33"/>
        <v>1022993</v>
      </c>
      <c r="N44" s="79">
        <f t="shared" si="33"/>
        <v>972993</v>
      </c>
      <c r="O44" s="79">
        <f t="shared" si="33"/>
        <v>1122993</v>
      </c>
      <c r="P44" s="79">
        <f t="shared" si="33"/>
        <v>1122993</v>
      </c>
      <c r="Q44" s="79">
        <f t="shared" si="33"/>
        <v>1164493</v>
      </c>
      <c r="R44" s="79">
        <f t="shared" si="33"/>
        <v>1164493</v>
      </c>
      <c r="S44" s="79">
        <f t="shared" si="33"/>
        <v>1164493</v>
      </c>
      <c r="T44" s="79">
        <f t="shared" si="33"/>
        <v>1164493</v>
      </c>
      <c r="U44" s="43">
        <f>SUM(C44:T44)</f>
        <v>21586924.630000003</v>
      </c>
    </row>
    <row r="45" spans="1:21" ht="15.75" customHeight="1" x14ac:dyDescent="0.25">
      <c r="A45" s="51">
        <v>44198</v>
      </c>
      <c r="B45" s="9" t="s">
        <v>7</v>
      </c>
      <c r="C45" s="84">
        <f t="shared" ref="C45:T45" si="34">SUM(C46:C48)+C49</f>
        <v>1300.99</v>
      </c>
      <c r="D45" s="84">
        <f t="shared" si="34"/>
        <v>200</v>
      </c>
      <c r="E45" s="84">
        <f t="shared" si="34"/>
        <v>200</v>
      </c>
      <c r="F45" s="84">
        <f t="shared" si="34"/>
        <v>200</v>
      </c>
      <c r="G45" s="84">
        <f t="shared" si="34"/>
        <v>200</v>
      </c>
      <c r="H45" s="84">
        <f t="shared" si="34"/>
        <v>10200</v>
      </c>
      <c r="I45" s="84">
        <f t="shared" si="34"/>
        <v>20200</v>
      </c>
      <c r="J45" s="84">
        <f t="shared" si="34"/>
        <v>30700</v>
      </c>
      <c r="K45" s="84">
        <f t="shared" si="34"/>
        <v>50700</v>
      </c>
      <c r="L45" s="84">
        <f t="shared" si="34"/>
        <v>50700</v>
      </c>
      <c r="M45" s="84">
        <f t="shared" si="34"/>
        <v>50700</v>
      </c>
      <c r="N45" s="84">
        <f t="shared" si="34"/>
        <v>50700</v>
      </c>
      <c r="O45" s="84">
        <f t="shared" si="34"/>
        <v>50700</v>
      </c>
      <c r="P45" s="84">
        <f t="shared" si="34"/>
        <v>50700</v>
      </c>
      <c r="Q45" s="84">
        <f t="shared" si="34"/>
        <v>42200</v>
      </c>
      <c r="R45" s="84">
        <f t="shared" si="34"/>
        <v>42200</v>
      </c>
      <c r="S45" s="84">
        <f t="shared" si="34"/>
        <v>42200</v>
      </c>
      <c r="T45" s="85">
        <f t="shared" si="34"/>
        <v>42200</v>
      </c>
      <c r="U45" s="43">
        <f>SUM(C45:T45)</f>
        <v>536200.99</v>
      </c>
    </row>
    <row r="46" spans="1:21" ht="15.75" customHeight="1" x14ac:dyDescent="0.25">
      <c r="A46" s="50"/>
      <c r="B46" s="40" t="s">
        <v>69</v>
      </c>
      <c r="C46" s="41">
        <v>1000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3"/>
    </row>
    <row r="47" spans="1:21" ht="28.2" customHeight="1" x14ac:dyDescent="0.25">
      <c r="A47" s="50"/>
      <c r="B47" s="40" t="s">
        <v>68</v>
      </c>
      <c r="C47" s="41"/>
      <c r="D47" s="41"/>
      <c r="E47" s="41"/>
      <c r="F47" s="41"/>
      <c r="G47" s="41"/>
      <c r="H47" s="41"/>
      <c r="I47" s="41">
        <v>10000</v>
      </c>
      <c r="J47" s="41">
        <v>30000</v>
      </c>
      <c r="K47" s="41">
        <v>50000</v>
      </c>
      <c r="L47" s="41">
        <v>50000</v>
      </c>
      <c r="M47" s="41">
        <v>50000</v>
      </c>
      <c r="N47" s="41">
        <v>50000</v>
      </c>
      <c r="O47" s="41">
        <v>50000</v>
      </c>
      <c r="P47" s="41">
        <v>50000</v>
      </c>
      <c r="Q47" s="41">
        <v>41500</v>
      </c>
      <c r="R47" s="41">
        <v>41500</v>
      </c>
      <c r="S47" s="41">
        <v>41500</v>
      </c>
      <c r="T47" s="41">
        <v>41500</v>
      </c>
      <c r="U47" s="43"/>
    </row>
    <row r="48" spans="1:21" ht="28.95" customHeight="1" x14ac:dyDescent="0.25">
      <c r="A48" s="50"/>
      <c r="B48" s="40" t="s">
        <v>61</v>
      </c>
      <c r="C48" s="41"/>
      <c r="D48" s="41"/>
      <c r="E48" s="41"/>
      <c r="F48" s="41"/>
      <c r="G48" s="41"/>
      <c r="H48" s="41">
        <v>10000</v>
      </c>
      <c r="I48" s="41">
        <v>10000</v>
      </c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3"/>
    </row>
    <row r="49" spans="1:21" ht="15.75" customHeight="1" x14ac:dyDescent="0.25">
      <c r="A49" s="52"/>
      <c r="B49" s="45" t="s">
        <v>56</v>
      </c>
      <c r="C49" s="86">
        <f>SUM(C50:C52)</f>
        <v>300.99</v>
      </c>
      <c r="D49" s="86">
        <f t="shared" ref="D49:T49" si="35">SUM(D50:D52)</f>
        <v>200</v>
      </c>
      <c r="E49" s="86">
        <f t="shared" si="35"/>
        <v>200</v>
      </c>
      <c r="F49" s="86">
        <f t="shared" si="35"/>
        <v>200</v>
      </c>
      <c r="G49" s="86">
        <f t="shared" si="35"/>
        <v>200</v>
      </c>
      <c r="H49" s="86">
        <f t="shared" si="35"/>
        <v>200</v>
      </c>
      <c r="I49" s="86">
        <f t="shared" si="35"/>
        <v>200</v>
      </c>
      <c r="J49" s="86">
        <f t="shared" si="35"/>
        <v>700</v>
      </c>
      <c r="K49" s="86">
        <f t="shared" si="35"/>
        <v>700</v>
      </c>
      <c r="L49" s="86">
        <f t="shared" si="35"/>
        <v>700</v>
      </c>
      <c r="M49" s="86">
        <f t="shared" si="35"/>
        <v>700</v>
      </c>
      <c r="N49" s="86">
        <f t="shared" si="35"/>
        <v>700</v>
      </c>
      <c r="O49" s="86">
        <f t="shared" si="35"/>
        <v>700</v>
      </c>
      <c r="P49" s="86">
        <f t="shared" si="35"/>
        <v>700</v>
      </c>
      <c r="Q49" s="86">
        <f t="shared" si="35"/>
        <v>700</v>
      </c>
      <c r="R49" s="86">
        <f t="shared" si="35"/>
        <v>700</v>
      </c>
      <c r="S49" s="86">
        <f t="shared" si="35"/>
        <v>700</v>
      </c>
      <c r="T49" s="86">
        <f t="shared" si="35"/>
        <v>700</v>
      </c>
      <c r="U49" s="43"/>
    </row>
    <row r="50" spans="1:21" ht="22.5" customHeight="1" x14ac:dyDescent="0.25">
      <c r="A50" s="50"/>
      <c r="B50" s="40" t="s">
        <v>55</v>
      </c>
      <c r="C50" s="41">
        <v>300</v>
      </c>
      <c r="D50" s="41">
        <v>200</v>
      </c>
      <c r="E50" s="41">
        <v>200</v>
      </c>
      <c r="F50" s="41">
        <v>200</v>
      </c>
      <c r="G50" s="41">
        <v>200</v>
      </c>
      <c r="H50" s="41">
        <v>200</v>
      </c>
      <c r="I50" s="41">
        <v>200</v>
      </c>
      <c r="J50" s="41">
        <v>200</v>
      </c>
      <c r="K50" s="41">
        <v>200</v>
      </c>
      <c r="L50" s="41">
        <v>200</v>
      </c>
      <c r="M50" s="41">
        <v>200</v>
      </c>
      <c r="N50" s="41">
        <v>200</v>
      </c>
      <c r="O50" s="41">
        <v>200</v>
      </c>
      <c r="P50" s="41">
        <v>200</v>
      </c>
      <c r="Q50" s="41">
        <v>200</v>
      </c>
      <c r="R50" s="41">
        <v>200</v>
      </c>
      <c r="S50" s="41">
        <v>200</v>
      </c>
      <c r="T50" s="41">
        <v>200</v>
      </c>
      <c r="U50" s="43"/>
    </row>
    <row r="51" spans="1:21" ht="15" customHeight="1" x14ac:dyDescent="0.25">
      <c r="B51" s="40" t="s">
        <v>71</v>
      </c>
      <c r="C51" s="41">
        <v>0.99</v>
      </c>
      <c r="D51" s="87"/>
      <c r="E51" s="87"/>
      <c r="F51" s="87"/>
      <c r="G51" s="87"/>
      <c r="H51" s="87"/>
      <c r="I51" s="87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3"/>
    </row>
    <row r="52" spans="1:21" ht="15.75" customHeight="1" x14ac:dyDescent="0.25">
      <c r="A52" s="50"/>
      <c r="B52" s="40" t="s">
        <v>97</v>
      </c>
      <c r="C52" s="88"/>
      <c r="D52" s="88"/>
      <c r="E52" s="88"/>
      <c r="F52" s="88"/>
      <c r="G52" s="88"/>
      <c r="H52" s="88"/>
      <c r="I52" s="88"/>
      <c r="J52" s="41">
        <f>J41*0.1</f>
        <v>500</v>
      </c>
      <c r="K52" s="41">
        <f t="shared" ref="K52:T52" si="36">K41*0.1</f>
        <v>500</v>
      </c>
      <c r="L52" s="41">
        <f t="shared" si="36"/>
        <v>500</v>
      </c>
      <c r="M52" s="41">
        <f t="shared" si="36"/>
        <v>500</v>
      </c>
      <c r="N52" s="41">
        <f t="shared" si="36"/>
        <v>500</v>
      </c>
      <c r="O52" s="41">
        <f t="shared" si="36"/>
        <v>500</v>
      </c>
      <c r="P52" s="41">
        <f t="shared" si="36"/>
        <v>500</v>
      </c>
      <c r="Q52" s="41">
        <f t="shared" si="36"/>
        <v>500</v>
      </c>
      <c r="R52" s="41">
        <f t="shared" si="36"/>
        <v>500</v>
      </c>
      <c r="S52" s="41">
        <f t="shared" si="36"/>
        <v>500</v>
      </c>
      <c r="T52" s="41">
        <f t="shared" si="36"/>
        <v>500</v>
      </c>
      <c r="U52" s="43"/>
    </row>
    <row r="53" spans="1:21" ht="15.75" customHeight="1" x14ac:dyDescent="0.25">
      <c r="A53" s="51">
        <v>44229</v>
      </c>
      <c r="B53" s="9" t="s">
        <v>8</v>
      </c>
      <c r="C53" s="84">
        <f>SUM(C54:C64)+C65+C70+C77</f>
        <v>0</v>
      </c>
      <c r="D53" s="84">
        <f>SUM(D54:D64)+D65+D70</f>
        <v>3760</v>
      </c>
      <c r="E53" s="84">
        <f t="shared" ref="E53:T53" si="37">SUM(E54:E64)+E65+E70</f>
        <v>248750</v>
      </c>
      <c r="F53" s="84">
        <f t="shared" si="37"/>
        <v>248750</v>
      </c>
      <c r="G53" s="84">
        <f t="shared" si="37"/>
        <v>3006720</v>
      </c>
      <c r="H53" s="84">
        <f t="shared" si="37"/>
        <v>2996720</v>
      </c>
      <c r="I53" s="84">
        <f t="shared" si="37"/>
        <v>3400800.64</v>
      </c>
      <c r="J53" s="84">
        <f t="shared" si="37"/>
        <v>672293</v>
      </c>
      <c r="K53" s="84">
        <f t="shared" si="37"/>
        <v>972293</v>
      </c>
      <c r="L53" s="84">
        <f t="shared" si="37"/>
        <v>972293</v>
      </c>
      <c r="M53" s="84">
        <f t="shared" si="37"/>
        <v>972293</v>
      </c>
      <c r="N53" s="84">
        <f t="shared" si="37"/>
        <v>922293</v>
      </c>
      <c r="O53" s="84">
        <f t="shared" si="37"/>
        <v>1072293</v>
      </c>
      <c r="P53" s="84">
        <f t="shared" si="37"/>
        <v>1072293</v>
      </c>
      <c r="Q53" s="84">
        <f t="shared" si="37"/>
        <v>1122293</v>
      </c>
      <c r="R53" s="84">
        <f t="shared" si="37"/>
        <v>1122293</v>
      </c>
      <c r="S53" s="84">
        <f t="shared" si="37"/>
        <v>1122293</v>
      </c>
      <c r="T53" s="84">
        <f t="shared" si="37"/>
        <v>1122293</v>
      </c>
      <c r="U53" s="43">
        <f>SUM(C53:T53)</f>
        <v>21050723.640000001</v>
      </c>
    </row>
    <row r="54" spans="1:21" ht="24.6" customHeight="1" x14ac:dyDescent="0.25">
      <c r="A54" s="50"/>
      <c r="B54" s="97" t="s">
        <v>64</v>
      </c>
      <c r="C54" s="41"/>
      <c r="D54" s="41"/>
      <c r="E54" s="41">
        <v>244000</v>
      </c>
      <c r="F54" s="41">
        <v>244000</v>
      </c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3"/>
    </row>
    <row r="55" spans="1:21" ht="21" customHeight="1" x14ac:dyDescent="0.25">
      <c r="A55" s="50"/>
      <c r="B55" s="97" t="s">
        <v>60</v>
      </c>
      <c r="C55" s="96"/>
      <c r="D55" s="96"/>
      <c r="E55" s="41"/>
      <c r="F55" s="41"/>
      <c r="G55" s="41">
        <v>2999000</v>
      </c>
      <c r="H55" s="41">
        <v>2989000</v>
      </c>
      <c r="I55" s="41">
        <v>3365780</v>
      </c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3"/>
    </row>
    <row r="56" spans="1:21" ht="16.8" customHeight="1" x14ac:dyDescent="0.25">
      <c r="A56" s="50"/>
      <c r="B56" s="97" t="s">
        <v>100</v>
      </c>
      <c r="C56" s="41"/>
      <c r="D56" s="41"/>
      <c r="E56" s="41"/>
      <c r="F56" s="41"/>
      <c r="G56" s="41"/>
      <c r="H56" s="41"/>
      <c r="I56" s="41"/>
      <c r="J56" s="41">
        <v>333333</v>
      </c>
      <c r="K56" s="41">
        <v>333333</v>
      </c>
      <c r="L56" s="41">
        <v>333333</v>
      </c>
      <c r="M56" s="41">
        <v>333333</v>
      </c>
      <c r="N56" s="41">
        <v>333333</v>
      </c>
      <c r="O56" s="41">
        <v>333333</v>
      </c>
      <c r="P56" s="41">
        <v>333333</v>
      </c>
      <c r="Q56" s="41">
        <v>333333</v>
      </c>
      <c r="R56" s="41">
        <v>333333</v>
      </c>
      <c r="S56" s="41">
        <v>333333</v>
      </c>
      <c r="T56" s="41">
        <v>333333</v>
      </c>
      <c r="U56" s="43"/>
    </row>
    <row r="57" spans="1:21" ht="15.75" customHeight="1" x14ac:dyDescent="0.25">
      <c r="A57" s="50"/>
      <c r="B57" s="97" t="s">
        <v>62</v>
      </c>
      <c r="C57" s="41"/>
      <c r="D57" s="41"/>
      <c r="E57" s="41"/>
      <c r="F57" s="41"/>
      <c r="G57" s="41"/>
      <c r="H57" s="41"/>
      <c r="I57" s="41">
        <v>200</v>
      </c>
      <c r="J57" s="41">
        <v>20000</v>
      </c>
      <c r="K57" s="41">
        <v>200000</v>
      </c>
      <c r="L57" s="41">
        <v>200000</v>
      </c>
      <c r="M57" s="41">
        <v>200000</v>
      </c>
      <c r="N57" s="41">
        <v>200000</v>
      </c>
      <c r="O57" s="41">
        <v>200000</v>
      </c>
      <c r="P57" s="41">
        <v>200000</v>
      </c>
      <c r="Q57" s="41">
        <v>200000</v>
      </c>
      <c r="R57" s="41">
        <v>200000</v>
      </c>
      <c r="S57" s="41">
        <v>200000</v>
      </c>
      <c r="T57" s="41">
        <v>200000</v>
      </c>
      <c r="U57" s="43"/>
    </row>
    <row r="58" spans="1:21" ht="15.75" customHeight="1" x14ac:dyDescent="0.25">
      <c r="A58" s="50"/>
      <c r="B58" s="97" t="s">
        <v>63</v>
      </c>
      <c r="C58" s="41"/>
      <c r="D58" s="41"/>
      <c r="E58" s="41"/>
      <c r="F58" s="41"/>
      <c r="G58" s="41"/>
      <c r="H58" s="41"/>
      <c r="I58" s="41"/>
      <c r="J58" s="41">
        <v>30000</v>
      </c>
      <c r="K58" s="41">
        <v>50000</v>
      </c>
      <c r="L58" s="41">
        <v>50000</v>
      </c>
      <c r="M58" s="41">
        <v>50000</v>
      </c>
      <c r="N58" s="41">
        <v>50000</v>
      </c>
      <c r="O58" s="41">
        <v>50000</v>
      </c>
      <c r="P58" s="41">
        <v>50000</v>
      </c>
      <c r="Q58" s="41">
        <v>50000</v>
      </c>
      <c r="R58" s="41">
        <v>50000</v>
      </c>
      <c r="S58" s="41">
        <v>50000</v>
      </c>
      <c r="T58" s="41">
        <v>50000</v>
      </c>
      <c r="U58" s="43"/>
    </row>
    <row r="59" spans="1:21" ht="15.75" customHeight="1" x14ac:dyDescent="0.25">
      <c r="A59" s="50"/>
      <c r="B59" s="97" t="s">
        <v>64</v>
      </c>
      <c r="C59" s="41"/>
      <c r="D59" s="41"/>
      <c r="E59" s="41"/>
      <c r="F59" s="41"/>
      <c r="G59" s="41"/>
      <c r="H59" s="41"/>
      <c r="I59" s="41"/>
      <c r="J59" s="41">
        <v>50000</v>
      </c>
      <c r="K59" s="41">
        <v>50000</v>
      </c>
      <c r="L59" s="41">
        <v>50000</v>
      </c>
      <c r="M59" s="41">
        <v>50000</v>
      </c>
      <c r="N59" s="41">
        <v>50000</v>
      </c>
      <c r="O59" s="41">
        <v>50000</v>
      </c>
      <c r="P59" s="41">
        <v>50000</v>
      </c>
      <c r="Q59" s="41">
        <v>50000</v>
      </c>
      <c r="R59" s="41">
        <v>50000</v>
      </c>
      <c r="S59" s="41">
        <v>50000</v>
      </c>
      <c r="T59" s="41">
        <v>50000</v>
      </c>
      <c r="U59" s="43"/>
    </row>
    <row r="60" spans="1:21" ht="17.399999999999999" customHeight="1" x14ac:dyDescent="0.25">
      <c r="A60" s="50"/>
      <c r="B60" s="97" t="s">
        <v>58</v>
      </c>
      <c r="C60" s="41"/>
      <c r="D60" s="41"/>
      <c r="E60" s="41"/>
      <c r="F60" s="41"/>
      <c r="G60" s="41"/>
      <c r="H60" s="41"/>
      <c r="I60" s="41"/>
      <c r="J60" s="41"/>
      <c r="K60" s="41">
        <f>50000*K25</f>
        <v>100000</v>
      </c>
      <c r="L60" s="41">
        <f t="shared" ref="L60:N60" si="38">50000*L25</f>
        <v>100000</v>
      </c>
      <c r="M60" s="41">
        <f t="shared" si="38"/>
        <v>100000</v>
      </c>
      <c r="N60" s="41">
        <f t="shared" si="38"/>
        <v>50000</v>
      </c>
      <c r="O60" s="41"/>
      <c r="P60" s="41"/>
      <c r="Q60" s="41"/>
      <c r="R60" s="41"/>
      <c r="S60" s="41"/>
      <c r="T60" s="41"/>
      <c r="U60" s="43"/>
    </row>
    <row r="61" spans="1:21" s="44" customFormat="1" ht="18" customHeight="1" x14ac:dyDescent="0.25">
      <c r="A61" s="50"/>
      <c r="B61" s="97" t="s">
        <v>59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>
        <f>50000*O28</f>
        <v>200000</v>
      </c>
      <c r="P61" s="41">
        <f t="shared" ref="P61:T61" si="39">50000*P28</f>
        <v>200000</v>
      </c>
      <c r="Q61" s="41">
        <f t="shared" si="39"/>
        <v>250000</v>
      </c>
      <c r="R61" s="41">
        <f t="shared" si="39"/>
        <v>250000</v>
      </c>
      <c r="S61" s="41">
        <f t="shared" si="39"/>
        <v>250000</v>
      </c>
      <c r="T61" s="41">
        <f t="shared" si="39"/>
        <v>250000</v>
      </c>
      <c r="U61" s="43"/>
    </row>
    <row r="62" spans="1:21" ht="15.75" customHeight="1" x14ac:dyDescent="0.25">
      <c r="A62" s="50"/>
      <c r="B62" s="97" t="s">
        <v>9</v>
      </c>
      <c r="C62" s="41"/>
      <c r="D62" s="41"/>
      <c r="E62" s="41"/>
      <c r="F62" s="41"/>
      <c r="G62" s="41"/>
      <c r="H62" s="41"/>
      <c r="I62" s="41">
        <v>1000</v>
      </c>
      <c r="J62" s="41">
        <v>3000</v>
      </c>
      <c r="K62" s="41">
        <v>3000</v>
      </c>
      <c r="L62" s="41">
        <v>3000</v>
      </c>
      <c r="M62" s="41">
        <v>3000</v>
      </c>
      <c r="N62" s="41">
        <v>3000</v>
      </c>
      <c r="O62" s="41">
        <v>3000</v>
      </c>
      <c r="P62" s="41">
        <v>3000</v>
      </c>
      <c r="Q62" s="41">
        <v>3000</v>
      </c>
      <c r="R62" s="41">
        <v>3000</v>
      </c>
      <c r="S62" s="41">
        <v>3000</v>
      </c>
      <c r="T62" s="41">
        <v>3000</v>
      </c>
      <c r="U62" s="43"/>
    </row>
    <row r="63" spans="1:21" ht="27.6" customHeight="1" x14ac:dyDescent="0.25">
      <c r="A63" s="50"/>
      <c r="B63" s="97" t="s">
        <v>85</v>
      </c>
      <c r="C63" s="41"/>
      <c r="D63" s="41">
        <v>120</v>
      </c>
      <c r="E63" s="41">
        <v>120</v>
      </c>
      <c r="F63" s="41">
        <v>120</v>
      </c>
      <c r="G63" s="41">
        <v>120</v>
      </c>
      <c r="H63" s="41">
        <v>120</v>
      </c>
      <c r="I63" s="41">
        <v>120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3"/>
    </row>
    <row r="64" spans="1:21" ht="15.75" customHeight="1" x14ac:dyDescent="0.25">
      <c r="A64" s="50"/>
      <c r="B64" s="97" t="s">
        <v>10</v>
      </c>
      <c r="C64" s="41"/>
      <c r="D64" s="41"/>
      <c r="E64" s="41"/>
      <c r="F64" s="41"/>
      <c r="G64" s="41"/>
      <c r="H64" s="41"/>
      <c r="I64" s="41">
        <v>150</v>
      </c>
      <c r="J64" s="41">
        <v>150</v>
      </c>
      <c r="K64" s="41">
        <v>150</v>
      </c>
      <c r="L64" s="41">
        <v>150</v>
      </c>
      <c r="M64" s="41">
        <v>150</v>
      </c>
      <c r="N64" s="41">
        <v>150</v>
      </c>
      <c r="O64" s="41">
        <v>150</v>
      </c>
      <c r="P64" s="41">
        <v>150</v>
      </c>
      <c r="Q64" s="41">
        <v>150</v>
      </c>
      <c r="R64" s="41">
        <v>150</v>
      </c>
      <c r="S64" s="41">
        <v>150</v>
      </c>
      <c r="T64" s="41">
        <v>150</v>
      </c>
      <c r="U64" s="43"/>
    </row>
    <row r="65" spans="1:21" ht="15.75" customHeight="1" x14ac:dyDescent="0.25">
      <c r="A65" s="52"/>
      <c r="B65" s="63" t="s">
        <v>11</v>
      </c>
      <c r="C65" s="86">
        <f t="shared" ref="C65:T65" si="40">SUM(C66:C69)</f>
        <v>0</v>
      </c>
      <c r="D65" s="86">
        <f t="shared" si="40"/>
        <v>1000</v>
      </c>
      <c r="E65" s="86">
        <f t="shared" si="40"/>
        <v>1000</v>
      </c>
      <c r="F65" s="86">
        <f t="shared" si="40"/>
        <v>1000</v>
      </c>
      <c r="G65" s="86">
        <f t="shared" si="40"/>
        <v>1000</v>
      </c>
      <c r="H65" s="86">
        <f t="shared" si="40"/>
        <v>1000</v>
      </c>
      <c r="I65" s="86">
        <f t="shared" si="40"/>
        <v>2000</v>
      </c>
      <c r="J65" s="86">
        <f t="shared" si="40"/>
        <v>2500</v>
      </c>
      <c r="K65" s="86">
        <f t="shared" si="40"/>
        <v>2500</v>
      </c>
      <c r="L65" s="86">
        <f t="shared" si="40"/>
        <v>2500</v>
      </c>
      <c r="M65" s="86">
        <f t="shared" si="40"/>
        <v>2500</v>
      </c>
      <c r="N65" s="86">
        <f t="shared" si="40"/>
        <v>2500</v>
      </c>
      <c r="O65" s="86">
        <f t="shared" si="40"/>
        <v>2500</v>
      </c>
      <c r="P65" s="86">
        <f t="shared" si="40"/>
        <v>2500</v>
      </c>
      <c r="Q65" s="86">
        <f t="shared" si="40"/>
        <v>2500</v>
      </c>
      <c r="R65" s="86">
        <f t="shared" si="40"/>
        <v>2500</v>
      </c>
      <c r="S65" s="86">
        <f t="shared" si="40"/>
        <v>2500</v>
      </c>
      <c r="T65" s="86">
        <f t="shared" si="40"/>
        <v>2500</v>
      </c>
      <c r="U65" s="43">
        <f>SUM(C65:T65)</f>
        <v>34500</v>
      </c>
    </row>
    <row r="66" spans="1:21" ht="15.75" customHeight="1" x14ac:dyDescent="0.25">
      <c r="A66" s="54"/>
      <c r="B66" s="12" t="s">
        <v>51</v>
      </c>
      <c r="C66" s="41"/>
      <c r="D66" s="41"/>
      <c r="E66" s="41"/>
      <c r="F66" s="41"/>
      <c r="G66" s="41"/>
      <c r="H66" s="41"/>
      <c r="I66" s="41">
        <v>500</v>
      </c>
      <c r="J66" s="41">
        <v>500</v>
      </c>
      <c r="K66" s="41">
        <v>500</v>
      </c>
      <c r="L66" s="41">
        <v>500</v>
      </c>
      <c r="M66" s="41">
        <v>500</v>
      </c>
      <c r="N66" s="41">
        <v>500</v>
      </c>
      <c r="O66" s="41">
        <v>500</v>
      </c>
      <c r="P66" s="41">
        <v>500</v>
      </c>
      <c r="Q66" s="41">
        <v>500</v>
      </c>
      <c r="R66" s="41">
        <v>500</v>
      </c>
      <c r="S66" s="41">
        <v>500</v>
      </c>
      <c r="T66" s="41">
        <v>500</v>
      </c>
      <c r="U66" s="43"/>
    </row>
    <row r="67" spans="1:21" ht="15.75" customHeight="1" x14ac:dyDescent="0.25">
      <c r="A67" s="54"/>
      <c r="B67" s="12" t="s">
        <v>12</v>
      </c>
      <c r="C67" s="41"/>
      <c r="D67" s="41"/>
      <c r="E67" s="41"/>
      <c r="F67" s="41"/>
      <c r="G67" s="41"/>
      <c r="H67" s="41"/>
      <c r="I67" s="41">
        <v>500</v>
      </c>
      <c r="J67" s="41">
        <v>500</v>
      </c>
      <c r="K67" s="41">
        <v>500</v>
      </c>
      <c r="L67" s="41">
        <v>500</v>
      </c>
      <c r="M67" s="41">
        <v>500</v>
      </c>
      <c r="N67" s="41">
        <v>500</v>
      </c>
      <c r="O67" s="41">
        <v>500</v>
      </c>
      <c r="P67" s="41">
        <v>500</v>
      </c>
      <c r="Q67" s="41">
        <v>500</v>
      </c>
      <c r="R67" s="41">
        <v>500</v>
      </c>
      <c r="S67" s="41">
        <v>500</v>
      </c>
      <c r="T67" s="41">
        <v>500</v>
      </c>
      <c r="U67" s="43"/>
    </row>
    <row r="68" spans="1:21" ht="15.75" customHeight="1" x14ac:dyDescent="0.25">
      <c r="A68" s="50"/>
      <c r="B68" s="11" t="s">
        <v>67</v>
      </c>
      <c r="C68" s="41"/>
      <c r="D68" s="41">
        <v>500</v>
      </c>
      <c r="E68" s="41">
        <v>500</v>
      </c>
      <c r="F68" s="41">
        <v>500</v>
      </c>
      <c r="G68" s="41">
        <v>500</v>
      </c>
      <c r="H68" s="41">
        <v>500</v>
      </c>
      <c r="I68" s="41">
        <v>500</v>
      </c>
      <c r="J68" s="41">
        <v>1000</v>
      </c>
      <c r="K68" s="41">
        <v>1000</v>
      </c>
      <c r="L68" s="41">
        <v>1000</v>
      </c>
      <c r="M68" s="41">
        <v>1000</v>
      </c>
      <c r="N68" s="41">
        <v>1000</v>
      </c>
      <c r="O68" s="41">
        <v>1000</v>
      </c>
      <c r="P68" s="41">
        <v>1000</v>
      </c>
      <c r="Q68" s="41">
        <v>1000</v>
      </c>
      <c r="R68" s="41">
        <v>1000</v>
      </c>
      <c r="S68" s="41">
        <v>1000</v>
      </c>
      <c r="T68" s="41">
        <v>1000</v>
      </c>
      <c r="U68" s="43"/>
    </row>
    <row r="69" spans="1:21" ht="15.75" customHeight="1" x14ac:dyDescent="0.25">
      <c r="A69" s="54"/>
      <c r="B69" s="12" t="s">
        <v>52</v>
      </c>
      <c r="C69" s="41"/>
      <c r="D69" s="41">
        <v>500</v>
      </c>
      <c r="E69" s="41">
        <v>500</v>
      </c>
      <c r="F69" s="41">
        <v>500</v>
      </c>
      <c r="G69" s="41">
        <v>500</v>
      </c>
      <c r="H69" s="41">
        <v>500</v>
      </c>
      <c r="I69" s="41">
        <v>500</v>
      </c>
      <c r="J69" s="41">
        <v>500</v>
      </c>
      <c r="K69" s="41">
        <v>500</v>
      </c>
      <c r="L69" s="41">
        <v>500</v>
      </c>
      <c r="M69" s="41">
        <v>500</v>
      </c>
      <c r="N69" s="41">
        <v>500</v>
      </c>
      <c r="O69" s="41">
        <v>500</v>
      </c>
      <c r="P69" s="41">
        <v>500</v>
      </c>
      <c r="Q69" s="41">
        <v>500</v>
      </c>
      <c r="R69" s="41">
        <v>500</v>
      </c>
      <c r="S69" s="41">
        <v>500</v>
      </c>
      <c r="T69" s="41">
        <v>500</v>
      </c>
      <c r="U69" s="43"/>
    </row>
    <row r="70" spans="1:21" ht="15.75" customHeight="1" x14ac:dyDescent="0.25">
      <c r="A70" s="55"/>
      <c r="B70" s="63" t="s">
        <v>13</v>
      </c>
      <c r="C70" s="86">
        <f>SUM(C71:C77)</f>
        <v>0</v>
      </c>
      <c r="D70" s="86">
        <f>SUM(D71:D77)</f>
        <v>2640</v>
      </c>
      <c r="E70" s="86">
        <f t="shared" ref="E70:T70" si="41">SUM(E71:E77)</f>
        <v>3630</v>
      </c>
      <c r="F70" s="86">
        <f t="shared" si="41"/>
        <v>3630</v>
      </c>
      <c r="G70" s="86">
        <f t="shared" si="41"/>
        <v>6600</v>
      </c>
      <c r="H70" s="86">
        <f t="shared" si="41"/>
        <v>6600</v>
      </c>
      <c r="I70" s="86">
        <f t="shared" si="41"/>
        <v>31550.639999999999</v>
      </c>
      <c r="J70" s="86">
        <f t="shared" si="41"/>
        <v>233310</v>
      </c>
      <c r="K70" s="86">
        <f t="shared" si="41"/>
        <v>233310</v>
      </c>
      <c r="L70" s="86">
        <f t="shared" si="41"/>
        <v>233310</v>
      </c>
      <c r="M70" s="86">
        <f t="shared" si="41"/>
        <v>233310</v>
      </c>
      <c r="N70" s="86">
        <f t="shared" si="41"/>
        <v>233310</v>
      </c>
      <c r="O70" s="86">
        <f t="shared" si="41"/>
        <v>233310</v>
      </c>
      <c r="P70" s="86">
        <f t="shared" si="41"/>
        <v>233310</v>
      </c>
      <c r="Q70" s="86">
        <f t="shared" si="41"/>
        <v>233310</v>
      </c>
      <c r="R70" s="86">
        <f t="shared" si="41"/>
        <v>233310</v>
      </c>
      <c r="S70" s="86">
        <f t="shared" si="41"/>
        <v>233310</v>
      </c>
      <c r="T70" s="86">
        <f t="shared" si="41"/>
        <v>233310</v>
      </c>
      <c r="U70" s="43">
        <f>SUM(C70:T70)</f>
        <v>2621060.64</v>
      </c>
    </row>
    <row r="71" spans="1:21" ht="15.75" customHeight="1" x14ac:dyDescent="0.25">
      <c r="A71" s="50"/>
      <c r="B71" s="12" t="s">
        <v>14</v>
      </c>
      <c r="C71" s="41"/>
      <c r="D71" s="41"/>
      <c r="E71" s="41"/>
      <c r="F71" s="41"/>
      <c r="G71" s="41">
        <v>2250</v>
      </c>
      <c r="H71" s="41">
        <v>2250</v>
      </c>
      <c r="I71" s="41">
        <v>2250</v>
      </c>
      <c r="J71" s="41">
        <v>2250</v>
      </c>
      <c r="K71" s="41">
        <v>2250</v>
      </c>
      <c r="L71" s="41">
        <v>2250</v>
      </c>
      <c r="M71" s="41">
        <v>2250</v>
      </c>
      <c r="N71" s="41">
        <v>2250</v>
      </c>
      <c r="O71" s="41">
        <v>2250</v>
      </c>
      <c r="P71" s="41">
        <v>2250</v>
      </c>
      <c r="Q71" s="41">
        <v>2250</v>
      </c>
      <c r="R71" s="41">
        <v>2250</v>
      </c>
      <c r="S71" s="41">
        <v>2250</v>
      </c>
      <c r="T71" s="41">
        <v>2250</v>
      </c>
      <c r="U71" s="43"/>
    </row>
    <row r="72" spans="1:21" ht="15.75" customHeight="1" x14ac:dyDescent="0.25">
      <c r="A72" s="50"/>
      <c r="B72" s="42" t="s">
        <v>65</v>
      </c>
      <c r="C72" s="41"/>
      <c r="D72" s="41"/>
      <c r="E72" s="41"/>
      <c r="F72" s="41"/>
      <c r="G72" s="41"/>
      <c r="H72" s="41"/>
      <c r="I72" s="41">
        <v>15152</v>
      </c>
      <c r="J72" s="41">
        <v>170000</v>
      </c>
      <c r="K72" s="41">
        <v>170000</v>
      </c>
      <c r="L72" s="41">
        <v>170000</v>
      </c>
      <c r="M72" s="41">
        <v>170000</v>
      </c>
      <c r="N72" s="41">
        <v>170000</v>
      </c>
      <c r="O72" s="41">
        <v>170000</v>
      </c>
      <c r="P72" s="41">
        <v>170000</v>
      </c>
      <c r="Q72" s="41">
        <v>170000</v>
      </c>
      <c r="R72" s="41">
        <v>170000</v>
      </c>
      <c r="S72" s="41">
        <v>170000</v>
      </c>
      <c r="T72" s="41">
        <v>170000</v>
      </c>
      <c r="U72" s="43"/>
    </row>
    <row r="73" spans="1:21" ht="15.75" customHeight="1" x14ac:dyDescent="0.25">
      <c r="A73" s="50"/>
      <c r="B73" s="12" t="s">
        <v>66</v>
      </c>
      <c r="C73" s="41"/>
      <c r="D73" s="41">
        <v>2000</v>
      </c>
      <c r="E73" s="41">
        <v>2000</v>
      </c>
      <c r="F73" s="41">
        <v>2000</v>
      </c>
      <c r="G73" s="41">
        <v>2000</v>
      </c>
      <c r="H73" s="41">
        <v>2000</v>
      </c>
      <c r="I73" s="41">
        <v>2000</v>
      </c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3"/>
    </row>
    <row r="74" spans="1:21" ht="15.75" customHeight="1" x14ac:dyDescent="0.25">
      <c r="A74" s="50"/>
      <c r="B74" s="12" t="s">
        <v>15</v>
      </c>
      <c r="C74" s="41"/>
      <c r="D74" s="41"/>
      <c r="E74" s="41">
        <v>750</v>
      </c>
      <c r="F74" s="41">
        <v>750</v>
      </c>
      <c r="G74" s="41">
        <v>750</v>
      </c>
      <c r="H74" s="41">
        <v>750</v>
      </c>
      <c r="I74" s="41">
        <v>1500</v>
      </c>
      <c r="J74" s="41">
        <v>1500</v>
      </c>
      <c r="K74" s="41">
        <v>1500</v>
      </c>
      <c r="L74" s="41">
        <v>1500</v>
      </c>
      <c r="M74" s="41">
        <v>1500</v>
      </c>
      <c r="N74" s="41">
        <v>1500</v>
      </c>
      <c r="O74" s="41">
        <v>1500</v>
      </c>
      <c r="P74" s="41">
        <v>1500</v>
      </c>
      <c r="Q74" s="41">
        <v>1500</v>
      </c>
      <c r="R74" s="41">
        <v>1500</v>
      </c>
      <c r="S74" s="41">
        <v>1500</v>
      </c>
      <c r="T74" s="41">
        <v>1500</v>
      </c>
      <c r="U74" s="43"/>
    </row>
    <row r="75" spans="1:21" ht="15.75" customHeight="1" x14ac:dyDescent="0.25">
      <c r="A75" s="50"/>
      <c r="B75" s="12" t="s">
        <v>16</v>
      </c>
      <c r="C75" s="41"/>
      <c r="D75" s="41"/>
      <c r="E75" s="41"/>
      <c r="F75" s="41"/>
      <c r="G75" s="41"/>
      <c r="H75" s="41"/>
      <c r="I75" s="41">
        <v>1500</v>
      </c>
      <c r="J75" s="41">
        <v>1500</v>
      </c>
      <c r="K75" s="41">
        <v>1500</v>
      </c>
      <c r="L75" s="41">
        <v>1500</v>
      </c>
      <c r="M75" s="41">
        <v>1500</v>
      </c>
      <c r="N75" s="41">
        <v>1500</v>
      </c>
      <c r="O75" s="41">
        <v>1500</v>
      </c>
      <c r="P75" s="41">
        <v>1500</v>
      </c>
      <c r="Q75" s="41">
        <v>1500</v>
      </c>
      <c r="R75" s="41">
        <v>1500</v>
      </c>
      <c r="S75" s="41">
        <v>1500</v>
      </c>
      <c r="T75" s="41">
        <v>1500</v>
      </c>
      <c r="U75" s="43"/>
    </row>
    <row r="76" spans="1:21" ht="15.75" customHeight="1" x14ac:dyDescent="0.25">
      <c r="A76" s="50"/>
      <c r="B76" s="12" t="s">
        <v>17</v>
      </c>
      <c r="C76" s="41"/>
      <c r="D76" s="41"/>
      <c r="E76" s="41"/>
      <c r="F76" s="41"/>
      <c r="G76" s="41"/>
      <c r="H76" s="41"/>
      <c r="I76" s="41">
        <v>1500</v>
      </c>
      <c r="J76" s="41">
        <v>1500</v>
      </c>
      <c r="K76" s="41">
        <v>1500</v>
      </c>
      <c r="L76" s="41">
        <v>1500</v>
      </c>
      <c r="M76" s="41">
        <v>1500</v>
      </c>
      <c r="N76" s="41">
        <v>1500</v>
      </c>
      <c r="O76" s="41">
        <v>1500</v>
      </c>
      <c r="P76" s="41">
        <v>1500</v>
      </c>
      <c r="Q76" s="41">
        <v>1500</v>
      </c>
      <c r="R76" s="41">
        <v>1500</v>
      </c>
      <c r="S76" s="41">
        <v>1500</v>
      </c>
      <c r="T76" s="41">
        <v>1500</v>
      </c>
      <c r="U76" s="43"/>
    </row>
    <row r="77" spans="1:21" ht="15.75" customHeight="1" x14ac:dyDescent="0.25">
      <c r="A77" s="50"/>
      <c r="B77" s="12" t="s">
        <v>99</v>
      </c>
      <c r="C77" s="41">
        <f>SUM(C71:C76)*0.32</f>
        <v>0</v>
      </c>
      <c r="D77" s="41">
        <f t="shared" ref="D77:T77" si="42">SUM(D71:D76)*0.32</f>
        <v>640</v>
      </c>
      <c r="E77" s="41">
        <f t="shared" si="42"/>
        <v>880</v>
      </c>
      <c r="F77" s="41">
        <f t="shared" si="42"/>
        <v>880</v>
      </c>
      <c r="G77" s="41">
        <f t="shared" si="42"/>
        <v>1600</v>
      </c>
      <c r="H77" s="41">
        <f t="shared" si="42"/>
        <v>1600</v>
      </c>
      <c r="I77" s="41">
        <f t="shared" si="42"/>
        <v>7648.64</v>
      </c>
      <c r="J77" s="41">
        <f t="shared" si="42"/>
        <v>56560</v>
      </c>
      <c r="K77" s="41">
        <f t="shared" si="42"/>
        <v>56560</v>
      </c>
      <c r="L77" s="41">
        <f t="shared" si="42"/>
        <v>56560</v>
      </c>
      <c r="M77" s="41">
        <f t="shared" si="42"/>
        <v>56560</v>
      </c>
      <c r="N77" s="41">
        <f t="shared" si="42"/>
        <v>56560</v>
      </c>
      <c r="O77" s="41">
        <f t="shared" si="42"/>
        <v>56560</v>
      </c>
      <c r="P77" s="41">
        <f t="shared" si="42"/>
        <v>56560</v>
      </c>
      <c r="Q77" s="41">
        <f t="shared" si="42"/>
        <v>56560</v>
      </c>
      <c r="R77" s="41">
        <f t="shared" si="42"/>
        <v>56560</v>
      </c>
      <c r="S77" s="41">
        <f t="shared" si="42"/>
        <v>56560</v>
      </c>
      <c r="T77" s="41">
        <f t="shared" si="42"/>
        <v>56560</v>
      </c>
      <c r="U77" s="43">
        <f>SUM(C77:T77)</f>
        <v>635408.64000000001</v>
      </c>
    </row>
    <row r="78" spans="1:21" ht="25.5" customHeight="1" x14ac:dyDescent="0.25">
      <c r="A78" s="122" t="s">
        <v>18</v>
      </c>
      <c r="B78" s="123"/>
      <c r="C78" s="89">
        <f>C4-C45-C53</f>
        <v>-1300.99</v>
      </c>
      <c r="D78" s="89">
        <f t="shared" ref="D78:T78" si="43">D4-D45-D53</f>
        <v>-3960</v>
      </c>
      <c r="E78" s="89">
        <f t="shared" si="43"/>
        <v>-248950</v>
      </c>
      <c r="F78" s="89">
        <f t="shared" si="43"/>
        <v>-248950</v>
      </c>
      <c r="G78" s="89">
        <f t="shared" si="43"/>
        <v>-3006920</v>
      </c>
      <c r="H78" s="89">
        <f t="shared" si="43"/>
        <v>-3006920</v>
      </c>
      <c r="I78" s="89">
        <f t="shared" si="43"/>
        <v>-3401000.64</v>
      </c>
      <c r="J78" s="89">
        <f t="shared" si="43"/>
        <v>29207</v>
      </c>
      <c r="K78" s="89">
        <f t="shared" si="43"/>
        <v>2709507</v>
      </c>
      <c r="L78" s="89">
        <f t="shared" si="43"/>
        <v>2709807</v>
      </c>
      <c r="M78" s="89">
        <f t="shared" si="43"/>
        <v>2709807</v>
      </c>
      <c r="N78" s="89">
        <f t="shared" si="43"/>
        <v>1259807</v>
      </c>
      <c r="O78" s="89">
        <f t="shared" si="43"/>
        <v>1609807</v>
      </c>
      <c r="P78" s="89">
        <f t="shared" si="43"/>
        <v>1609807</v>
      </c>
      <c r="Q78" s="89">
        <f t="shared" si="43"/>
        <v>2068307</v>
      </c>
      <c r="R78" s="89">
        <f t="shared" si="43"/>
        <v>2068307</v>
      </c>
      <c r="S78" s="89">
        <f t="shared" si="43"/>
        <v>2068307</v>
      </c>
      <c r="T78" s="89">
        <f t="shared" si="43"/>
        <v>2068307</v>
      </c>
      <c r="U78" s="77">
        <f t="shared" ref="U78:U80" si="44">SUM(C78:T78)</f>
        <v>10992975.369999999</v>
      </c>
    </row>
    <row r="79" spans="1:21" ht="24.75" customHeight="1" x14ac:dyDescent="0.25">
      <c r="A79" s="56"/>
      <c r="B79" s="61" t="s">
        <v>84</v>
      </c>
      <c r="C79" s="41">
        <f>C4*0.06</f>
        <v>0</v>
      </c>
      <c r="D79" s="41">
        <f t="shared" ref="D79:T79" si="45">D4*0.06</f>
        <v>0</v>
      </c>
      <c r="E79" s="41">
        <f t="shared" si="45"/>
        <v>0</v>
      </c>
      <c r="F79" s="41">
        <f t="shared" si="45"/>
        <v>0</v>
      </c>
      <c r="G79" s="41">
        <f t="shared" si="45"/>
        <v>0</v>
      </c>
      <c r="H79" s="41">
        <f t="shared" si="45"/>
        <v>0</v>
      </c>
      <c r="I79" s="41">
        <f t="shared" si="45"/>
        <v>1200</v>
      </c>
      <c r="J79" s="41">
        <f t="shared" si="45"/>
        <v>43932</v>
      </c>
      <c r="K79" s="41">
        <f t="shared" si="45"/>
        <v>223950</v>
      </c>
      <c r="L79" s="41">
        <f t="shared" si="45"/>
        <v>223968</v>
      </c>
      <c r="M79" s="41">
        <f t="shared" si="45"/>
        <v>223968</v>
      </c>
      <c r="N79" s="41">
        <f t="shared" si="45"/>
        <v>133968</v>
      </c>
      <c r="O79" s="41">
        <f t="shared" si="45"/>
        <v>163968</v>
      </c>
      <c r="P79" s="41">
        <f t="shared" si="45"/>
        <v>163968</v>
      </c>
      <c r="Q79" s="41">
        <f t="shared" si="45"/>
        <v>193968</v>
      </c>
      <c r="R79" s="41">
        <f t="shared" si="45"/>
        <v>193968</v>
      </c>
      <c r="S79" s="41">
        <f t="shared" si="45"/>
        <v>193968</v>
      </c>
      <c r="T79" s="41">
        <f t="shared" si="45"/>
        <v>193968</v>
      </c>
      <c r="U79" s="77">
        <f t="shared" si="44"/>
        <v>1954794</v>
      </c>
    </row>
    <row r="80" spans="1:21" ht="15.75" customHeight="1" x14ac:dyDescent="0.25">
      <c r="A80" s="124" t="s">
        <v>19</v>
      </c>
      <c r="B80" s="125"/>
      <c r="C80" s="121">
        <f t="shared" ref="C80:T80" si="46">C78-C79</f>
        <v>-1300.99</v>
      </c>
      <c r="D80" s="121">
        <f t="shared" si="46"/>
        <v>-3960</v>
      </c>
      <c r="E80" s="121">
        <f t="shared" si="46"/>
        <v>-248950</v>
      </c>
      <c r="F80" s="121">
        <f t="shared" si="46"/>
        <v>-248950</v>
      </c>
      <c r="G80" s="121">
        <f>G78-G79-G77</f>
        <v>-3008520</v>
      </c>
      <c r="H80" s="121">
        <f t="shared" si="46"/>
        <v>-3006920</v>
      </c>
      <c r="I80" s="121">
        <f t="shared" si="46"/>
        <v>-3402200.64</v>
      </c>
      <c r="J80" s="121">
        <f t="shared" si="46"/>
        <v>-14725</v>
      </c>
      <c r="K80" s="121">
        <f t="shared" ref="K80" si="47">K78-K79</f>
        <v>2485557</v>
      </c>
      <c r="L80" s="121">
        <f t="shared" ref="L80:O80" si="48">L78-L79</f>
        <v>2485839</v>
      </c>
      <c r="M80" s="121">
        <f t="shared" si="48"/>
        <v>2485839</v>
      </c>
      <c r="N80" s="121">
        <f t="shared" si="48"/>
        <v>1125839</v>
      </c>
      <c r="O80" s="121">
        <f t="shared" si="48"/>
        <v>1445839</v>
      </c>
      <c r="P80" s="121">
        <f t="shared" si="46"/>
        <v>1445839</v>
      </c>
      <c r="Q80" s="121">
        <f t="shared" si="46"/>
        <v>1874339</v>
      </c>
      <c r="R80" s="121">
        <f t="shared" si="46"/>
        <v>1874339</v>
      </c>
      <c r="S80" s="121">
        <f t="shared" si="46"/>
        <v>1874339</v>
      </c>
      <c r="T80" s="121">
        <f t="shared" si="46"/>
        <v>1874339</v>
      </c>
      <c r="U80" s="77">
        <f t="shared" si="44"/>
        <v>9036581.3699999992</v>
      </c>
    </row>
    <row r="81" spans="1:21" ht="15.75" customHeight="1" x14ac:dyDescent="0.25">
      <c r="A81" s="126" t="s">
        <v>20</v>
      </c>
      <c r="B81" s="127"/>
      <c r="C81" s="90"/>
      <c r="D81" s="90"/>
      <c r="E81" s="90"/>
      <c r="F81" s="90"/>
      <c r="G81" s="90"/>
      <c r="H81" s="90"/>
      <c r="I81" s="90">
        <f t="shared" ref="I81:T81" si="49">I80/I4</f>
        <v>-170.11003200000002</v>
      </c>
      <c r="J81" s="90">
        <f t="shared" si="49"/>
        <v>-2.0110625512155148E-2</v>
      </c>
      <c r="K81" s="90">
        <f t="shared" si="49"/>
        <v>0.66592283991962486</v>
      </c>
      <c r="L81" s="90">
        <f t="shared" si="49"/>
        <v>0.6659448671238748</v>
      </c>
      <c r="M81" s="90">
        <f t="shared" si="49"/>
        <v>0.6659448671238748</v>
      </c>
      <c r="N81" s="90">
        <f t="shared" si="49"/>
        <v>0.50422742744536009</v>
      </c>
      <c r="O81" s="90">
        <f t="shared" si="49"/>
        <v>0.52906872072599531</v>
      </c>
      <c r="P81" s="90">
        <f t="shared" si="49"/>
        <v>0.52906872072599531</v>
      </c>
      <c r="Q81" s="90">
        <f t="shared" si="49"/>
        <v>0.5797881093788666</v>
      </c>
      <c r="R81" s="90">
        <f t="shared" si="49"/>
        <v>0.5797881093788666</v>
      </c>
      <c r="S81" s="90">
        <f t="shared" si="49"/>
        <v>0.5797881093788666</v>
      </c>
      <c r="T81" s="90">
        <f t="shared" si="49"/>
        <v>0.5797881093788666</v>
      </c>
      <c r="U81" s="90"/>
    </row>
    <row r="82" spans="1:21" ht="15.75" customHeight="1" x14ac:dyDescent="0.25">
      <c r="A82" s="128" t="s">
        <v>39</v>
      </c>
      <c r="B82" s="129"/>
      <c r="C82" s="91"/>
      <c r="D82" s="91">
        <v>4000</v>
      </c>
      <c r="E82" s="91">
        <v>250000</v>
      </c>
      <c r="F82" s="91">
        <v>250000</v>
      </c>
      <c r="G82" s="91">
        <v>3010000</v>
      </c>
      <c r="H82" s="91">
        <v>3010000</v>
      </c>
      <c r="I82" s="91">
        <v>3476000</v>
      </c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78">
        <f>SUM(C82:T82)</f>
        <v>10000000</v>
      </c>
    </row>
    <row r="83" spans="1:21" ht="15.75" customHeight="1" x14ac:dyDescent="0.25">
      <c r="A83" s="128" t="s">
        <v>21</v>
      </c>
      <c r="B83" s="129"/>
      <c r="C83" s="91">
        <f>C84+C85</f>
        <v>1300.99</v>
      </c>
      <c r="D83" s="91">
        <f t="shared" ref="D83:G83" si="50">D84+D85</f>
        <v>200</v>
      </c>
      <c r="E83" s="91">
        <f t="shared" si="50"/>
        <v>0</v>
      </c>
      <c r="F83" s="91">
        <f t="shared" si="50"/>
        <v>0</v>
      </c>
      <c r="G83" s="91">
        <f t="shared" si="50"/>
        <v>0</v>
      </c>
      <c r="H83" s="91">
        <f t="shared" ref="H83" si="51">H84+H85</f>
        <v>0</v>
      </c>
      <c r="I83" s="91">
        <f t="shared" ref="I83" si="52">I84+I85</f>
        <v>0</v>
      </c>
      <c r="J83" s="91">
        <f t="shared" ref="J83" si="53">J84+J85</f>
        <v>0</v>
      </c>
      <c r="K83" s="91">
        <f t="shared" ref="K83" si="54">K84+K85</f>
        <v>0</v>
      </c>
      <c r="L83" s="91">
        <f t="shared" ref="L83" si="55">L84+L85</f>
        <v>0</v>
      </c>
      <c r="M83" s="91">
        <f t="shared" ref="M83" si="56">M84+M85</f>
        <v>0</v>
      </c>
      <c r="N83" s="91">
        <f t="shared" ref="N83" si="57">N84+N85</f>
        <v>0</v>
      </c>
      <c r="O83" s="91">
        <f t="shared" ref="O83" si="58">O84+O85</f>
        <v>0</v>
      </c>
      <c r="P83" s="91">
        <f t="shared" ref="P83" si="59">P84+P85</f>
        <v>0</v>
      </c>
      <c r="Q83" s="91">
        <f t="shared" ref="Q83" si="60">Q84+Q85</f>
        <v>0</v>
      </c>
      <c r="R83" s="91">
        <f t="shared" ref="R83" si="61">R84+R85</f>
        <v>0</v>
      </c>
      <c r="S83" s="91">
        <f t="shared" ref="S83" si="62">S84+S85</f>
        <v>0</v>
      </c>
      <c r="T83" s="91">
        <f t="shared" ref="T83" si="63">T84+T85</f>
        <v>0</v>
      </c>
      <c r="U83" s="78">
        <f>SUM(C83:T83)</f>
        <v>1500.99</v>
      </c>
    </row>
    <row r="84" spans="1:21" ht="15.75" customHeight="1" x14ac:dyDescent="0.25">
      <c r="A84" s="57">
        <v>1</v>
      </c>
      <c r="B84" s="120" t="s">
        <v>95</v>
      </c>
      <c r="C84" s="92">
        <v>1000</v>
      </c>
      <c r="D84" s="92"/>
      <c r="E84" s="92"/>
      <c r="F84" s="92">
        <v>0</v>
      </c>
      <c r="G84" s="92">
        <v>0</v>
      </c>
      <c r="H84" s="92">
        <v>0</v>
      </c>
      <c r="I84" s="92">
        <v>0</v>
      </c>
      <c r="J84" s="92">
        <v>0</v>
      </c>
      <c r="K84" s="92">
        <v>0</v>
      </c>
      <c r="L84" s="92">
        <v>0</v>
      </c>
      <c r="M84" s="92">
        <v>0</v>
      </c>
      <c r="N84" s="92">
        <v>0</v>
      </c>
      <c r="O84" s="92">
        <v>0</v>
      </c>
      <c r="P84" s="92">
        <v>0</v>
      </c>
      <c r="Q84" s="92">
        <v>0</v>
      </c>
      <c r="R84" s="92">
        <v>0</v>
      </c>
      <c r="S84" s="92"/>
      <c r="T84" s="92">
        <v>0</v>
      </c>
      <c r="U84" s="79"/>
    </row>
    <row r="85" spans="1:21" ht="15.75" customHeight="1" x14ac:dyDescent="0.25">
      <c r="A85" s="57">
        <v>3</v>
      </c>
      <c r="B85" s="120" t="s">
        <v>86</v>
      </c>
      <c r="C85" s="92">
        <v>300.99</v>
      </c>
      <c r="D85" s="41">
        <v>200</v>
      </c>
      <c r="E85" s="41"/>
      <c r="F85" s="41"/>
      <c r="G85" s="41"/>
      <c r="H85" s="41"/>
      <c r="I85" s="41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80"/>
    </row>
    <row r="86" spans="1:21" ht="15.75" customHeight="1" x14ac:dyDescent="0.25">
      <c r="A86" s="58"/>
      <c r="B86" s="117" t="s">
        <v>53</v>
      </c>
      <c r="C86" s="93">
        <v>0</v>
      </c>
      <c r="D86" s="93">
        <f t="shared" ref="D86" si="64">C88</f>
        <v>0</v>
      </c>
      <c r="E86" s="93">
        <f t="shared" ref="E86" si="65">D88</f>
        <v>240</v>
      </c>
      <c r="F86" s="93">
        <f t="shared" ref="F86" si="66">E88</f>
        <v>1290</v>
      </c>
      <c r="G86" s="93">
        <f t="shared" ref="G86" si="67">F88</f>
        <v>2340</v>
      </c>
      <c r="H86" s="93">
        <f t="shared" ref="H86" si="68">G88</f>
        <v>5420</v>
      </c>
      <c r="I86" s="93">
        <f t="shared" ref="I86" si="69">H88</f>
        <v>8500</v>
      </c>
      <c r="J86" s="93">
        <f t="shared" ref="J86" si="70">I88</f>
        <v>83499.35999999987</v>
      </c>
      <c r="K86" s="93">
        <f t="shared" ref="K86" si="71">J88</f>
        <v>112706.35999999987</v>
      </c>
      <c r="L86" s="93">
        <f t="shared" ref="L86" si="72">K88</f>
        <v>2822213.36</v>
      </c>
      <c r="M86" s="93">
        <f t="shared" ref="M86" si="73">L88</f>
        <v>5532020.3599999994</v>
      </c>
      <c r="N86" s="93">
        <f t="shared" ref="N86" si="74">M88</f>
        <v>8241827.3599999994</v>
      </c>
      <c r="O86" s="93">
        <f t="shared" ref="O86" si="75">N88</f>
        <v>9501634.3599999994</v>
      </c>
      <c r="P86" s="93">
        <f t="shared" ref="P86" si="76">O88</f>
        <v>11111441.359999999</v>
      </c>
      <c r="Q86" s="93">
        <f t="shared" ref="Q86" si="77">P88</f>
        <v>12721248.359999999</v>
      </c>
      <c r="R86" s="93">
        <f t="shared" ref="R86" si="78">Q88</f>
        <v>14789555.359999999</v>
      </c>
      <c r="S86" s="93">
        <f t="shared" ref="S86" si="79">R88</f>
        <v>16857862.359999999</v>
      </c>
      <c r="T86" s="93">
        <f t="shared" ref="T86" si="80">S88</f>
        <v>18926169.359999999</v>
      </c>
      <c r="U86" s="116"/>
    </row>
    <row r="87" spans="1:21" ht="15.75" customHeight="1" x14ac:dyDescent="0.25">
      <c r="A87" s="59"/>
      <c r="B87" s="118" t="s">
        <v>22</v>
      </c>
      <c r="C87" s="94">
        <f t="shared" ref="C87:T87" si="81">C3+C83+C82</f>
        <v>0</v>
      </c>
      <c r="D87" s="94">
        <f t="shared" si="81"/>
        <v>240</v>
      </c>
      <c r="E87" s="94">
        <f t="shared" si="81"/>
        <v>1050</v>
      </c>
      <c r="F87" s="94">
        <f t="shared" si="81"/>
        <v>1050</v>
      </c>
      <c r="G87" s="94">
        <f t="shared" si="81"/>
        <v>3080</v>
      </c>
      <c r="H87" s="94">
        <f t="shared" si="81"/>
        <v>3080</v>
      </c>
      <c r="I87" s="94">
        <f t="shared" si="81"/>
        <v>74999.35999999987</v>
      </c>
      <c r="J87" s="94">
        <f t="shared" si="81"/>
        <v>29207</v>
      </c>
      <c r="K87" s="94">
        <f t="shared" si="81"/>
        <v>2709507</v>
      </c>
      <c r="L87" s="94">
        <f t="shared" si="81"/>
        <v>2709807</v>
      </c>
      <c r="M87" s="94">
        <f t="shared" si="81"/>
        <v>2709807</v>
      </c>
      <c r="N87" s="94">
        <f t="shared" si="81"/>
        <v>1259807</v>
      </c>
      <c r="O87" s="94">
        <f t="shared" si="81"/>
        <v>1609807</v>
      </c>
      <c r="P87" s="94">
        <f t="shared" si="81"/>
        <v>1609807</v>
      </c>
      <c r="Q87" s="94">
        <f t="shared" si="81"/>
        <v>2068307</v>
      </c>
      <c r="R87" s="94">
        <f t="shared" si="81"/>
        <v>2068307</v>
      </c>
      <c r="S87" s="94">
        <f t="shared" si="81"/>
        <v>2068307</v>
      </c>
      <c r="T87" s="94">
        <f t="shared" si="81"/>
        <v>2068307</v>
      </c>
      <c r="U87" s="116">
        <f t="shared" ref="U87" si="82">SUM(C87:T87)</f>
        <v>20994476.359999999</v>
      </c>
    </row>
    <row r="88" spans="1:21" ht="15.75" customHeight="1" x14ac:dyDescent="0.25">
      <c r="A88" s="60"/>
      <c r="B88" s="119" t="s">
        <v>54</v>
      </c>
      <c r="C88" s="95">
        <f t="shared" ref="C88:T88" si="83">C86+C87</f>
        <v>0</v>
      </c>
      <c r="D88" s="95">
        <f t="shared" si="83"/>
        <v>240</v>
      </c>
      <c r="E88" s="95">
        <f t="shared" si="83"/>
        <v>1290</v>
      </c>
      <c r="F88" s="95">
        <f t="shared" si="83"/>
        <v>2340</v>
      </c>
      <c r="G88" s="95">
        <f t="shared" si="83"/>
        <v>5420</v>
      </c>
      <c r="H88" s="95">
        <f t="shared" si="83"/>
        <v>8500</v>
      </c>
      <c r="I88" s="95">
        <f t="shared" si="83"/>
        <v>83499.35999999987</v>
      </c>
      <c r="J88" s="95">
        <f t="shared" si="83"/>
        <v>112706.35999999987</v>
      </c>
      <c r="K88" s="95">
        <f t="shared" ref="K88" si="84">K86+K87</f>
        <v>2822213.36</v>
      </c>
      <c r="L88" s="95">
        <f t="shared" ref="L88:O88" si="85">L86+L87</f>
        <v>5532020.3599999994</v>
      </c>
      <c r="M88" s="95">
        <f t="shared" si="85"/>
        <v>8241827.3599999994</v>
      </c>
      <c r="N88" s="95">
        <f t="shared" si="85"/>
        <v>9501634.3599999994</v>
      </c>
      <c r="O88" s="95">
        <f t="shared" si="85"/>
        <v>11111441.359999999</v>
      </c>
      <c r="P88" s="95">
        <f t="shared" si="83"/>
        <v>12721248.359999999</v>
      </c>
      <c r="Q88" s="95">
        <f t="shared" si="83"/>
        <v>14789555.359999999</v>
      </c>
      <c r="R88" s="95">
        <f t="shared" si="83"/>
        <v>16857862.359999999</v>
      </c>
      <c r="S88" s="95">
        <f t="shared" ref="S88" si="86">S86+S87</f>
        <v>18926169.359999999</v>
      </c>
      <c r="T88" s="95">
        <f t="shared" si="83"/>
        <v>20994476.359999999</v>
      </c>
      <c r="U88" s="116"/>
    </row>
    <row r="89" spans="1:21" ht="15.75" customHeight="1" x14ac:dyDescent="0.25">
      <c r="A89" s="57"/>
      <c r="B89" s="13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ht="15.75" customHeight="1" x14ac:dyDescent="0.25">
      <c r="A90" s="57"/>
      <c r="B90" s="13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ht="15.75" customHeight="1" x14ac:dyDescent="0.25">
      <c r="A91" s="57"/>
      <c r="B91" s="13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ht="15.75" customHeight="1" x14ac:dyDescent="0.25">
      <c r="A92" s="57"/>
      <c r="B92" s="13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ht="15.75" customHeight="1" x14ac:dyDescent="0.25">
      <c r="A93" s="57"/>
      <c r="B93" s="13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ht="15.75" customHeight="1" x14ac:dyDescent="0.25">
      <c r="A94" s="57"/>
      <c r="B94" s="13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ht="15.75" customHeight="1" x14ac:dyDescent="0.25">
      <c r="A95" s="57"/>
      <c r="B95" s="13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ht="15.75" customHeight="1" x14ac:dyDescent="0.25">
      <c r="A96" s="57"/>
      <c r="B96" s="13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ht="15.75" customHeight="1" x14ac:dyDescent="0.25">
      <c r="A97" s="57"/>
      <c r="B97" s="13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ht="15.75" customHeight="1" x14ac:dyDescent="0.25">
      <c r="A98" s="57"/>
      <c r="B98" s="13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ht="15.75" customHeight="1" x14ac:dyDescent="0.25">
      <c r="A99" s="57"/>
      <c r="B99" s="13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ht="15.75" customHeight="1" x14ac:dyDescent="0.25">
      <c r="A100" s="57"/>
      <c r="B100" s="13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ht="15.75" customHeight="1" x14ac:dyDescent="0.25">
      <c r="A101" s="57"/>
      <c r="B101" s="13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ht="15.75" customHeight="1" x14ac:dyDescent="0.25">
      <c r="A102" s="57"/>
      <c r="B102" s="13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ht="15.75" customHeight="1" x14ac:dyDescent="0.25">
      <c r="A103" s="57"/>
      <c r="B103" s="13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ht="15.75" customHeight="1" x14ac:dyDescent="0.25">
      <c r="A104" s="57"/>
      <c r="B104" s="13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ht="15.75" customHeight="1" x14ac:dyDescent="0.25">
      <c r="A105" s="57"/>
      <c r="B105" s="13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ht="15.75" customHeight="1" x14ac:dyDescent="0.25">
      <c r="A106" s="57"/>
      <c r="B106" s="13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ht="15.75" customHeight="1" x14ac:dyDescent="0.25">
      <c r="A107" s="57"/>
      <c r="B107" s="13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ht="15.75" customHeight="1" x14ac:dyDescent="0.25">
      <c r="A108" s="57"/>
      <c r="B108" s="13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ht="15.75" customHeight="1" x14ac:dyDescent="0.25">
      <c r="A109" s="57"/>
      <c r="B109" s="13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ht="15.75" customHeight="1" x14ac:dyDescent="0.25">
      <c r="A110" s="57"/>
      <c r="B110" s="13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ht="15.75" customHeight="1" x14ac:dyDescent="0.25">
      <c r="A111" s="57"/>
      <c r="B111" s="13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ht="15.75" customHeight="1" x14ac:dyDescent="0.25">
      <c r="A112" s="57"/>
      <c r="B112" s="13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ht="15.75" customHeight="1" x14ac:dyDescent="0.25">
      <c r="A113" s="57"/>
      <c r="B113" s="13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ht="15.75" customHeight="1" x14ac:dyDescent="0.25">
      <c r="A114" s="57"/>
      <c r="B114" s="13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ht="15.75" customHeight="1" x14ac:dyDescent="0.25">
      <c r="A115" s="57"/>
      <c r="B115" s="13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ht="15.75" customHeight="1" x14ac:dyDescent="0.25">
      <c r="A116" s="57"/>
      <c r="B116" s="13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ht="15.75" customHeight="1" x14ac:dyDescent="0.25">
      <c r="A117" s="57"/>
      <c r="B117" s="13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ht="15.75" customHeight="1" x14ac:dyDescent="0.25">
      <c r="A118" s="57"/>
      <c r="B118" s="13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ht="15.75" customHeight="1" x14ac:dyDescent="0.25">
      <c r="A119" s="57"/>
      <c r="B119" s="13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ht="15.75" customHeight="1" x14ac:dyDescent="0.25">
      <c r="A120" s="57"/>
      <c r="B120" s="13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ht="15.75" customHeight="1" x14ac:dyDescent="0.25">
      <c r="A121" s="57"/>
      <c r="B121" s="13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ht="15.75" customHeight="1" x14ac:dyDescent="0.25">
      <c r="A122" s="57"/>
      <c r="B122" s="13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ht="15.75" customHeight="1" x14ac:dyDescent="0.25">
      <c r="A123" s="57"/>
      <c r="B123" s="13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ht="15.75" customHeight="1" x14ac:dyDescent="0.25">
      <c r="A124" s="57"/>
      <c r="B124" s="13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ht="15.75" customHeight="1" x14ac:dyDescent="0.25">
      <c r="A125" s="57"/>
      <c r="B125" s="13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ht="15.75" customHeight="1" x14ac:dyDescent="0.25">
      <c r="A126" s="57"/>
      <c r="B126" s="13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ht="15.75" customHeight="1" x14ac:dyDescent="0.25">
      <c r="A127" s="57"/>
      <c r="B127" s="13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ht="15.75" customHeight="1" x14ac:dyDescent="0.25">
      <c r="A128" s="57"/>
      <c r="B128" s="13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ht="15.75" customHeight="1" x14ac:dyDescent="0.25">
      <c r="A129" s="57"/>
      <c r="B129" s="13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ht="15.75" customHeight="1" x14ac:dyDescent="0.25">
      <c r="A130" s="57"/>
      <c r="B130" s="13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ht="15.75" customHeight="1" x14ac:dyDescent="0.25">
      <c r="A131" s="57"/>
      <c r="B131" s="13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ht="15.75" customHeight="1" x14ac:dyDescent="0.25">
      <c r="A132" s="57"/>
      <c r="B132" s="13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</sheetData>
  <mergeCells count="5">
    <mergeCell ref="A78:B78"/>
    <mergeCell ref="A80:B80"/>
    <mergeCell ref="A81:B81"/>
    <mergeCell ref="A82:B82"/>
    <mergeCell ref="A83:B8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5"/>
  <sheetViews>
    <sheetView tabSelected="1" workbookViewId="0">
      <selection activeCell="C21" sqref="C21"/>
    </sheetView>
  </sheetViews>
  <sheetFormatPr defaultRowHeight="13.2" x14ac:dyDescent="0.25"/>
  <cols>
    <col min="2" max="2" width="27" customWidth="1"/>
    <col min="3" max="3" width="12" customWidth="1"/>
    <col min="4" max="6" width="10.6640625" customWidth="1"/>
    <col min="7" max="7" width="11.5546875" customWidth="1"/>
    <col min="8" max="8" width="12.21875" customWidth="1"/>
    <col min="9" max="9" width="11.88671875" customWidth="1"/>
    <col min="10" max="14" width="10.6640625" customWidth="1"/>
    <col min="15" max="15" width="11.6640625" customWidth="1"/>
    <col min="16" max="17" width="12.21875" customWidth="1"/>
    <col min="18" max="18" width="11.33203125" customWidth="1"/>
    <col min="19" max="19" width="11.6640625" customWidth="1"/>
    <col min="20" max="20" width="12.109375" customWidth="1"/>
    <col min="21" max="21" width="15.33203125" customWidth="1"/>
  </cols>
  <sheetData>
    <row r="1" spans="1:32" ht="13.8" x14ac:dyDescent="0.25">
      <c r="B1" s="65" t="s">
        <v>87</v>
      </c>
      <c r="C1" s="133" t="s">
        <v>88</v>
      </c>
      <c r="D1" s="133"/>
      <c r="E1" s="133"/>
      <c r="F1" s="133"/>
      <c r="G1" s="133"/>
      <c r="H1" s="133"/>
      <c r="I1" s="134"/>
      <c r="J1" s="64" t="s">
        <v>91</v>
      </c>
      <c r="K1" s="135" t="s">
        <v>89</v>
      </c>
      <c r="L1" s="136"/>
      <c r="M1" s="136"/>
      <c r="N1" s="137"/>
      <c r="O1" s="130" t="s">
        <v>90</v>
      </c>
      <c r="P1" s="131"/>
      <c r="Q1" s="131"/>
      <c r="R1" s="131"/>
      <c r="S1" s="131"/>
      <c r="T1" s="132"/>
    </row>
    <row r="2" spans="1:32" ht="15.75" customHeight="1" x14ac:dyDescent="0.25">
      <c r="A2" s="101" t="s">
        <v>23</v>
      </c>
      <c r="B2" s="105"/>
      <c r="C2" s="106">
        <f>'Финансовая модель '!C1</f>
        <v>2024</v>
      </c>
      <c r="D2" s="107">
        <f>'Финансовая модель '!D1</f>
        <v>2025</v>
      </c>
      <c r="E2" s="107">
        <f>'Финансовая модель '!E1</f>
        <v>2026</v>
      </c>
      <c r="F2" s="107">
        <f>'Финансовая модель '!F1</f>
        <v>2027</v>
      </c>
      <c r="G2" s="107">
        <f>'Финансовая модель '!G1</f>
        <v>2028</v>
      </c>
      <c r="H2" s="107">
        <f>'Финансовая модель '!H1</f>
        <v>2029</v>
      </c>
      <c r="I2" s="107">
        <f>'Финансовая модель '!I1</f>
        <v>2030</v>
      </c>
      <c r="J2" s="107">
        <f>'Финансовая модель '!J1</f>
        <v>2031</v>
      </c>
      <c r="K2" s="107">
        <f>'Финансовая модель '!K1</f>
        <v>2032</v>
      </c>
      <c r="L2" s="107">
        <f>'Финансовая модель '!L1</f>
        <v>2033</v>
      </c>
      <c r="M2" s="107">
        <f>'Финансовая модель '!M1</f>
        <v>2034</v>
      </c>
      <c r="N2" s="107">
        <f>'Финансовая модель '!N1</f>
        <v>2035</v>
      </c>
      <c r="O2" s="107">
        <f>'Финансовая модель '!O1</f>
        <v>2036</v>
      </c>
      <c r="P2" s="107">
        <f>'Финансовая модель '!P1</f>
        <v>2037</v>
      </c>
      <c r="Q2" s="107">
        <f>'Финансовая модель '!Q1</f>
        <v>2038</v>
      </c>
      <c r="R2" s="107">
        <f>'Финансовая модель '!R1</f>
        <v>2039</v>
      </c>
      <c r="S2" s="107">
        <f>'Финансовая модель '!S1</f>
        <v>2040</v>
      </c>
      <c r="T2" s="107">
        <f>'Финансовая модель '!T1</f>
        <v>2041</v>
      </c>
      <c r="U2" s="104" t="s">
        <v>92</v>
      </c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15.75" customHeight="1" x14ac:dyDescent="0.25">
      <c r="A3" s="101" t="s">
        <v>1</v>
      </c>
      <c r="B3" s="108" t="s">
        <v>93</v>
      </c>
      <c r="C3" s="109">
        <v>1</v>
      </c>
      <c r="D3" s="110">
        <f>C3+1</f>
        <v>2</v>
      </c>
      <c r="E3" s="110">
        <f t="shared" ref="E3:T3" si="0">D3+1</f>
        <v>3</v>
      </c>
      <c r="F3" s="110">
        <f t="shared" si="0"/>
        <v>4</v>
      </c>
      <c r="G3" s="110">
        <f t="shared" si="0"/>
        <v>5</v>
      </c>
      <c r="H3" s="110">
        <f t="shared" si="0"/>
        <v>6</v>
      </c>
      <c r="I3" s="110">
        <f t="shared" si="0"/>
        <v>7</v>
      </c>
      <c r="J3" s="110">
        <f t="shared" si="0"/>
        <v>8</v>
      </c>
      <c r="K3" s="110">
        <f t="shared" si="0"/>
        <v>9</v>
      </c>
      <c r="L3" s="110">
        <f t="shared" si="0"/>
        <v>10</v>
      </c>
      <c r="M3" s="110">
        <f t="shared" si="0"/>
        <v>11</v>
      </c>
      <c r="N3" s="110">
        <f t="shared" si="0"/>
        <v>12</v>
      </c>
      <c r="O3" s="110">
        <f t="shared" si="0"/>
        <v>13</v>
      </c>
      <c r="P3" s="110">
        <f t="shared" si="0"/>
        <v>14</v>
      </c>
      <c r="Q3" s="110">
        <f t="shared" si="0"/>
        <v>15</v>
      </c>
      <c r="R3" s="110">
        <f t="shared" si="0"/>
        <v>16</v>
      </c>
      <c r="S3" s="110">
        <f t="shared" si="0"/>
        <v>17</v>
      </c>
      <c r="T3" s="110">
        <f t="shared" si="0"/>
        <v>18</v>
      </c>
      <c r="U3" s="104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15.75" customHeight="1" x14ac:dyDescent="0.25">
      <c r="B4" s="111" t="s">
        <v>5</v>
      </c>
      <c r="C4" s="72">
        <f>'Финансовая модель '!C4</f>
        <v>0</v>
      </c>
      <c r="D4" s="73">
        <f>'Финансовая модель '!D4</f>
        <v>0</v>
      </c>
      <c r="E4" s="73">
        <f>'Финансовая модель '!E4</f>
        <v>0</v>
      </c>
      <c r="F4" s="73">
        <f>'Финансовая модель '!F4</f>
        <v>0</v>
      </c>
      <c r="G4" s="73">
        <f>'Финансовая модель '!G4</f>
        <v>0</v>
      </c>
      <c r="H4" s="73">
        <f>'Финансовая модель '!H4</f>
        <v>0</v>
      </c>
      <c r="I4" s="73">
        <f>'Финансовая модель '!I4</f>
        <v>20000</v>
      </c>
      <c r="J4" s="73">
        <f>'Финансовая модель '!J4</f>
        <v>732200</v>
      </c>
      <c r="K4" s="73">
        <f>'Финансовая модель '!K4</f>
        <v>3732500</v>
      </c>
      <c r="L4" s="73">
        <f>'Финансовая модель '!L4</f>
        <v>3732800</v>
      </c>
      <c r="M4" s="73">
        <f>'Финансовая модель '!M4</f>
        <v>3732800</v>
      </c>
      <c r="N4" s="73">
        <f>'Финансовая модель '!N4</f>
        <v>2232800</v>
      </c>
      <c r="O4" s="73">
        <f>'Финансовая модель '!O4</f>
        <v>2732800</v>
      </c>
      <c r="P4" s="73">
        <f>'Финансовая модель '!P4</f>
        <v>2732800</v>
      </c>
      <c r="Q4" s="73">
        <f>'Финансовая модель '!Q4</f>
        <v>3232800</v>
      </c>
      <c r="R4" s="73">
        <f>'Финансовая модель '!R4</f>
        <v>3232800</v>
      </c>
      <c r="S4" s="73">
        <f>'Финансовая модель '!S4</f>
        <v>3232800</v>
      </c>
      <c r="T4" s="73">
        <f>'Финансовая модель '!T4</f>
        <v>3232800</v>
      </c>
      <c r="U4" s="104">
        <f t="shared" ref="U4:U10" si="1">C4+D4+E4+F4+G4+H4+I4+J4+K4+L4+M4+N4+O4+P4+Q4+R4+S4+T4</f>
        <v>32579900</v>
      </c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ht="15.75" customHeight="1" x14ac:dyDescent="0.25">
      <c r="B5" s="112" t="s">
        <v>7</v>
      </c>
      <c r="C5" s="70">
        <f>'Финансовая модель '!C45</f>
        <v>1300.99</v>
      </c>
      <c r="D5" s="71">
        <f>'Финансовая модель '!D45</f>
        <v>200</v>
      </c>
      <c r="E5" s="71">
        <f>'Финансовая модель '!E45</f>
        <v>200</v>
      </c>
      <c r="F5" s="71">
        <f>'Финансовая модель '!F45</f>
        <v>200</v>
      </c>
      <c r="G5" s="71">
        <f>'Финансовая модель '!G45</f>
        <v>200</v>
      </c>
      <c r="H5" s="71">
        <f>'Финансовая модель '!H45</f>
        <v>10200</v>
      </c>
      <c r="I5" s="71">
        <f>'Финансовая модель '!I45</f>
        <v>20200</v>
      </c>
      <c r="J5" s="71">
        <f>'Финансовая модель '!J45</f>
        <v>30700</v>
      </c>
      <c r="K5" s="71">
        <f>'Финансовая модель '!K45</f>
        <v>50700</v>
      </c>
      <c r="L5" s="71">
        <f>'Финансовая модель '!L45</f>
        <v>50700</v>
      </c>
      <c r="M5" s="71">
        <f>'Финансовая модель '!M45</f>
        <v>50700</v>
      </c>
      <c r="N5" s="71">
        <f>'Финансовая модель '!N45</f>
        <v>50700</v>
      </c>
      <c r="O5" s="71">
        <f>'Финансовая модель '!O45</f>
        <v>50700</v>
      </c>
      <c r="P5" s="71">
        <f>'Финансовая модель '!P45</f>
        <v>50700</v>
      </c>
      <c r="Q5" s="71">
        <f>'Финансовая модель '!Q45</f>
        <v>42200</v>
      </c>
      <c r="R5" s="71">
        <f>'Финансовая модель '!R45</f>
        <v>42200</v>
      </c>
      <c r="S5" s="71">
        <f>'Финансовая модель '!S45</f>
        <v>42200</v>
      </c>
      <c r="T5" s="71">
        <f>'Финансовая модель '!T45</f>
        <v>42200</v>
      </c>
      <c r="U5" s="104">
        <f t="shared" si="1"/>
        <v>536200.99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5.75" customHeight="1" x14ac:dyDescent="0.25">
      <c r="B6" s="112" t="s">
        <v>8</v>
      </c>
      <c r="C6" s="70">
        <f>'Финансовая модель '!C53</f>
        <v>0</v>
      </c>
      <c r="D6" s="71">
        <f>'Финансовая модель '!D53</f>
        <v>3760</v>
      </c>
      <c r="E6" s="71">
        <f>'Финансовая модель '!E53</f>
        <v>248750</v>
      </c>
      <c r="F6" s="71">
        <f>'Финансовая модель '!F53</f>
        <v>248750</v>
      </c>
      <c r="G6" s="71">
        <f>'Финансовая модель '!G53</f>
        <v>3006720</v>
      </c>
      <c r="H6" s="71">
        <f>'Финансовая модель '!H53</f>
        <v>2996720</v>
      </c>
      <c r="I6" s="71">
        <f>'Финансовая модель '!I53</f>
        <v>3400800.64</v>
      </c>
      <c r="J6" s="71">
        <f>'Финансовая модель '!J53</f>
        <v>672293</v>
      </c>
      <c r="K6" s="71">
        <f>'Финансовая модель '!K53</f>
        <v>972293</v>
      </c>
      <c r="L6" s="71">
        <f>'Финансовая модель '!L53</f>
        <v>972293</v>
      </c>
      <c r="M6" s="71">
        <f>'Финансовая модель '!M53</f>
        <v>972293</v>
      </c>
      <c r="N6" s="71">
        <f>'Финансовая модель '!N53</f>
        <v>922293</v>
      </c>
      <c r="O6" s="71">
        <f>'Финансовая модель '!O53</f>
        <v>1072293</v>
      </c>
      <c r="P6" s="71">
        <f>'Финансовая модель '!P53</f>
        <v>1072293</v>
      </c>
      <c r="Q6" s="71">
        <f>'Финансовая модель '!Q53</f>
        <v>1122293</v>
      </c>
      <c r="R6" s="71">
        <f>'Финансовая модель '!R53</f>
        <v>1122293</v>
      </c>
      <c r="S6" s="71">
        <f>'Финансовая модель '!S53</f>
        <v>1122293</v>
      </c>
      <c r="T6" s="71">
        <f>'Финансовая модель '!T53</f>
        <v>1122293</v>
      </c>
      <c r="U6" s="104">
        <f t="shared" si="1"/>
        <v>21050723.640000001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5.5" customHeight="1" x14ac:dyDescent="0.25">
      <c r="B7" s="113" t="s">
        <v>18</v>
      </c>
      <c r="C7" s="70">
        <f>'Финансовая модель '!C78</f>
        <v>-1300.99</v>
      </c>
      <c r="D7" s="71">
        <f>'Финансовая модель '!D78</f>
        <v>-3960</v>
      </c>
      <c r="E7" s="71">
        <f>'Финансовая модель '!E78</f>
        <v>-248950</v>
      </c>
      <c r="F7" s="71">
        <f>'Финансовая модель '!F78</f>
        <v>-248950</v>
      </c>
      <c r="G7" s="71">
        <f>'Финансовая модель '!G78</f>
        <v>-3006920</v>
      </c>
      <c r="H7" s="71">
        <f>'Финансовая модель '!H78</f>
        <v>-3006920</v>
      </c>
      <c r="I7" s="71">
        <f>'Финансовая модель '!I78</f>
        <v>-3401000.64</v>
      </c>
      <c r="J7" s="71">
        <f>'Финансовая модель '!J78</f>
        <v>29207</v>
      </c>
      <c r="K7" s="71">
        <f>'Финансовая модель '!K78</f>
        <v>2709507</v>
      </c>
      <c r="L7" s="71">
        <f>'Финансовая модель '!L78</f>
        <v>2709807</v>
      </c>
      <c r="M7" s="71">
        <f>'Финансовая модель '!M78</f>
        <v>2709807</v>
      </c>
      <c r="N7" s="71">
        <f>'Финансовая модель '!N78</f>
        <v>1259807</v>
      </c>
      <c r="O7" s="71">
        <f>'Финансовая модель '!O78</f>
        <v>1609807</v>
      </c>
      <c r="P7" s="71">
        <f>'Финансовая модель '!P78</f>
        <v>1609807</v>
      </c>
      <c r="Q7" s="71">
        <f>'Финансовая модель '!Q78</f>
        <v>2068307</v>
      </c>
      <c r="R7" s="71">
        <f>'Финансовая модель '!R78</f>
        <v>2068307</v>
      </c>
      <c r="S7" s="71">
        <f>'Финансовая модель '!S78</f>
        <v>2068307</v>
      </c>
      <c r="T7" s="71">
        <f>'Финансовая модель '!T78</f>
        <v>2068307</v>
      </c>
      <c r="U7" s="104">
        <f t="shared" si="1"/>
        <v>10992975.369999999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5.75" customHeight="1" x14ac:dyDescent="0.25">
      <c r="B8" s="113" t="s">
        <v>19</v>
      </c>
      <c r="C8" s="70">
        <f>'Финансовая модель '!C80</f>
        <v>-1300.99</v>
      </c>
      <c r="D8" s="71">
        <f>'Финансовая модель '!D80</f>
        <v>-3960</v>
      </c>
      <c r="E8" s="71">
        <f>'Финансовая модель '!E80</f>
        <v>-248950</v>
      </c>
      <c r="F8" s="71">
        <f>'Финансовая модель '!F80</f>
        <v>-248950</v>
      </c>
      <c r="G8" s="71">
        <f>'Финансовая модель '!G80</f>
        <v>-3008520</v>
      </c>
      <c r="H8" s="71">
        <f>'Финансовая модель '!H80</f>
        <v>-3006920</v>
      </c>
      <c r="I8" s="71">
        <f>'Финансовая модель '!I80</f>
        <v>-3402200.64</v>
      </c>
      <c r="J8" s="71">
        <f>'Финансовая модель '!J80</f>
        <v>-14725</v>
      </c>
      <c r="K8" s="71">
        <f>'Финансовая модель '!K80</f>
        <v>2485557</v>
      </c>
      <c r="L8" s="71">
        <f>'Финансовая модель '!L80</f>
        <v>2485839</v>
      </c>
      <c r="M8" s="71">
        <f>'Финансовая модель '!M80</f>
        <v>2485839</v>
      </c>
      <c r="N8" s="71">
        <f>'Финансовая модель '!N80</f>
        <v>1125839</v>
      </c>
      <c r="O8" s="71">
        <f>'Финансовая модель '!O80</f>
        <v>1445839</v>
      </c>
      <c r="P8" s="71">
        <f>'Финансовая модель '!P80</f>
        <v>1445839</v>
      </c>
      <c r="Q8" s="71">
        <f>'Финансовая модель '!Q80</f>
        <v>1874339</v>
      </c>
      <c r="R8" s="71">
        <f>'Финансовая модель '!R80</f>
        <v>1874339</v>
      </c>
      <c r="S8" s="71">
        <f>'Финансовая модель '!S80</f>
        <v>1874339</v>
      </c>
      <c r="T8" s="71">
        <f>'Финансовая модель '!T80</f>
        <v>1874339</v>
      </c>
      <c r="U8" s="104">
        <f t="shared" si="1"/>
        <v>9036581.3699999992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5.75" customHeight="1" x14ac:dyDescent="0.25">
      <c r="B9" s="114" t="s">
        <v>20</v>
      </c>
      <c r="C9" s="70" t="s">
        <v>96</v>
      </c>
      <c r="D9" s="70" t="s">
        <v>96</v>
      </c>
      <c r="E9" s="70" t="s">
        <v>96</v>
      </c>
      <c r="F9" s="70" t="s">
        <v>96</v>
      </c>
      <c r="G9" s="70" t="s">
        <v>96</v>
      </c>
      <c r="H9" s="70" t="s">
        <v>96</v>
      </c>
      <c r="I9" s="71">
        <f>'Финансовая модель '!I81</f>
        <v>-170.11003200000002</v>
      </c>
      <c r="J9" s="71">
        <f>'Финансовая модель '!J81</f>
        <v>-2.0110625512155148E-2</v>
      </c>
      <c r="K9" s="71">
        <f>'Финансовая модель '!K81</f>
        <v>0.66592283991962486</v>
      </c>
      <c r="L9" s="71">
        <f>'Финансовая модель '!L81</f>
        <v>0.6659448671238748</v>
      </c>
      <c r="M9" s="71">
        <f>'Финансовая модель '!M81</f>
        <v>0.6659448671238748</v>
      </c>
      <c r="N9" s="71">
        <f>'Финансовая модель '!N81</f>
        <v>0.50422742744536009</v>
      </c>
      <c r="O9" s="71">
        <f>'Финансовая модель '!O81</f>
        <v>0.52906872072599531</v>
      </c>
      <c r="P9" s="71">
        <f>'Финансовая модель '!P81</f>
        <v>0.52906872072599531</v>
      </c>
      <c r="Q9" s="71">
        <f>'Финансовая модель '!Q81</f>
        <v>0.5797881093788666</v>
      </c>
      <c r="R9" s="71">
        <f>'Финансовая модель '!R81</f>
        <v>0.5797881093788666</v>
      </c>
      <c r="S9" s="71">
        <f>'Финансовая модель '!S81</f>
        <v>0.5797881093788666</v>
      </c>
      <c r="T9" s="71">
        <f>'Финансовая модель '!T81</f>
        <v>0.5797881093788666</v>
      </c>
      <c r="U9" s="104">
        <f>U8/U4</f>
        <v>0.27736676202198285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5.75" customHeight="1" x14ac:dyDescent="0.25">
      <c r="B10" s="114" t="s">
        <v>39</v>
      </c>
      <c r="C10" s="70">
        <f>'Финансовая модель '!C82+'Финансовая модель '!C83</f>
        <v>1300.99</v>
      </c>
      <c r="D10" s="70">
        <f>'Финансовая модель '!D82+'Финансовая модель '!D83</f>
        <v>4200</v>
      </c>
      <c r="E10" s="71">
        <f>'Финансовая модель '!E82</f>
        <v>250000</v>
      </c>
      <c r="F10" s="71">
        <f>'Финансовая модель '!F82</f>
        <v>250000</v>
      </c>
      <c r="G10" s="71">
        <f>'Финансовая модель '!G82</f>
        <v>3010000</v>
      </c>
      <c r="H10" s="71">
        <f>'Финансовая модель '!H82</f>
        <v>3010000</v>
      </c>
      <c r="I10" s="71">
        <f>'Финансовая модель '!I82</f>
        <v>3476000</v>
      </c>
      <c r="J10" s="71">
        <f>'Финансовая модель '!J82</f>
        <v>0</v>
      </c>
      <c r="K10" s="71">
        <f>'Финансовая модель '!K82</f>
        <v>0</v>
      </c>
      <c r="L10" s="71">
        <f>'Финансовая модель '!L82</f>
        <v>0</v>
      </c>
      <c r="M10" s="71">
        <f>'Финансовая модель '!M82</f>
        <v>0</v>
      </c>
      <c r="N10" s="71">
        <f>'Финансовая модель '!N82</f>
        <v>0</v>
      </c>
      <c r="O10" s="71">
        <f>'Финансовая модель '!O82</f>
        <v>0</v>
      </c>
      <c r="P10" s="71">
        <f>'Финансовая модель '!P82</f>
        <v>0</v>
      </c>
      <c r="Q10" s="71">
        <f>'Финансовая модель '!Q82</f>
        <v>0</v>
      </c>
      <c r="R10" s="71">
        <f>'Финансовая модель '!R82</f>
        <v>0</v>
      </c>
      <c r="S10" s="71">
        <f>'Финансовая модель '!S82</f>
        <v>0</v>
      </c>
      <c r="T10" s="71">
        <f>'Финансовая модель '!T82</f>
        <v>0</v>
      </c>
      <c r="U10" s="104">
        <f t="shared" si="1"/>
        <v>10001500.99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27" customHeight="1" x14ac:dyDescent="0.25">
      <c r="B11" s="115" t="s">
        <v>40</v>
      </c>
      <c r="C11" s="70">
        <f>C10+C8</f>
        <v>0</v>
      </c>
      <c r="D11" s="70">
        <f t="shared" ref="D11:T11" si="2">D10+D8</f>
        <v>240</v>
      </c>
      <c r="E11" s="70">
        <f t="shared" si="2"/>
        <v>1050</v>
      </c>
      <c r="F11" s="70">
        <f t="shared" si="2"/>
        <v>1050</v>
      </c>
      <c r="G11" s="70">
        <f t="shared" si="2"/>
        <v>1480</v>
      </c>
      <c r="H11" s="70">
        <f t="shared" si="2"/>
        <v>3080</v>
      </c>
      <c r="I11" s="70">
        <f t="shared" si="2"/>
        <v>73799.35999999987</v>
      </c>
      <c r="J11" s="70">
        <f t="shared" si="2"/>
        <v>-14725</v>
      </c>
      <c r="K11" s="70">
        <f t="shared" si="2"/>
        <v>2485557</v>
      </c>
      <c r="L11" s="70">
        <f t="shared" si="2"/>
        <v>2485839</v>
      </c>
      <c r="M11" s="70">
        <f t="shared" si="2"/>
        <v>2485839</v>
      </c>
      <c r="N11" s="70">
        <f t="shared" si="2"/>
        <v>1125839</v>
      </c>
      <c r="O11" s="70">
        <f t="shared" si="2"/>
        <v>1445839</v>
      </c>
      <c r="P11" s="70">
        <f t="shared" si="2"/>
        <v>1445839</v>
      </c>
      <c r="Q11" s="70">
        <f t="shared" si="2"/>
        <v>1874339</v>
      </c>
      <c r="R11" s="70">
        <f t="shared" si="2"/>
        <v>1874339</v>
      </c>
      <c r="S11" s="70">
        <f t="shared" si="2"/>
        <v>1874339</v>
      </c>
      <c r="T11" s="70">
        <f t="shared" si="2"/>
        <v>1874339</v>
      </c>
      <c r="U11" s="104"/>
    </row>
    <row r="12" spans="1:32" x14ac:dyDescent="0.25">
      <c r="B12" s="114" t="s">
        <v>41</v>
      </c>
      <c r="C12" s="70"/>
      <c r="D12" s="70">
        <f>D11/(1+C15)</f>
        <v>212.38938053097348</v>
      </c>
      <c r="E12" s="70">
        <f t="shared" ref="E12:T12" si="3">E11/(1+D15)</f>
        <v>1050</v>
      </c>
      <c r="F12" s="70">
        <f t="shared" si="3"/>
        <v>1050</v>
      </c>
      <c r="G12" s="70">
        <f t="shared" si="3"/>
        <v>1480</v>
      </c>
      <c r="H12" s="70">
        <f t="shared" si="3"/>
        <v>3080</v>
      </c>
      <c r="I12" s="70">
        <f t="shared" si="3"/>
        <v>73799.35999999987</v>
      </c>
      <c r="J12" s="70">
        <f t="shared" si="3"/>
        <v>-14725</v>
      </c>
      <c r="K12" s="70">
        <f t="shared" si="3"/>
        <v>2485557</v>
      </c>
      <c r="L12" s="70">
        <f t="shared" si="3"/>
        <v>2485839</v>
      </c>
      <c r="M12" s="70">
        <f t="shared" si="3"/>
        <v>2485839</v>
      </c>
      <c r="N12" s="70">
        <f t="shared" si="3"/>
        <v>1125839</v>
      </c>
      <c r="O12" s="70">
        <f t="shared" si="3"/>
        <v>1445839</v>
      </c>
      <c r="P12" s="70">
        <f t="shared" si="3"/>
        <v>1445839</v>
      </c>
      <c r="Q12" s="70">
        <f t="shared" si="3"/>
        <v>1874339</v>
      </c>
      <c r="R12" s="70">
        <f t="shared" si="3"/>
        <v>1874339</v>
      </c>
      <c r="S12" s="70">
        <f t="shared" si="3"/>
        <v>1874339</v>
      </c>
      <c r="T12" s="70">
        <f t="shared" si="3"/>
        <v>1874339</v>
      </c>
      <c r="U12" s="104">
        <f t="shared" ref="U12" si="4">C12+D12+E12+F12+G12+H12+I12+J12+K12+L12+M12+N12+O12+P12+Q12+R12+S12+T12</f>
        <v>19038054.749380529</v>
      </c>
    </row>
    <row r="13" spans="1:32" x14ac:dyDescent="0.25">
      <c r="B13" s="114" t="s">
        <v>42</v>
      </c>
      <c r="C13" s="70">
        <f>C12</f>
        <v>0</v>
      </c>
      <c r="D13" s="71">
        <f>C13+D12</f>
        <v>212.38938053097348</v>
      </c>
      <c r="E13" s="71">
        <f t="shared" ref="E13:T13" si="5">D13+E12</f>
        <v>1262.3893805309735</v>
      </c>
      <c r="F13" s="71">
        <f t="shared" si="5"/>
        <v>2312.3893805309735</v>
      </c>
      <c r="G13" s="71">
        <f t="shared" si="5"/>
        <v>3792.3893805309735</v>
      </c>
      <c r="H13" s="71">
        <f t="shared" si="5"/>
        <v>6872.3893805309735</v>
      </c>
      <c r="I13" s="71">
        <f t="shared" si="5"/>
        <v>80671.749380530848</v>
      </c>
      <c r="J13" s="71">
        <f t="shared" si="5"/>
        <v>65946.749380530848</v>
      </c>
      <c r="K13" s="71">
        <f t="shared" si="5"/>
        <v>2551503.7493805308</v>
      </c>
      <c r="L13" s="71">
        <f t="shared" si="5"/>
        <v>5037342.7493805308</v>
      </c>
      <c r="M13" s="71">
        <f t="shared" si="5"/>
        <v>7523181.7493805308</v>
      </c>
      <c r="N13" s="71">
        <f t="shared" si="5"/>
        <v>8649020.7493805308</v>
      </c>
      <c r="O13" s="71">
        <f t="shared" si="5"/>
        <v>10094859.749380531</v>
      </c>
      <c r="P13" s="71">
        <f t="shared" si="5"/>
        <v>11540698.749380531</v>
      </c>
      <c r="Q13" s="71">
        <f t="shared" si="5"/>
        <v>13415037.749380531</v>
      </c>
      <c r="R13" s="71">
        <f t="shared" si="5"/>
        <v>15289376.749380531</v>
      </c>
      <c r="S13" s="71">
        <f t="shared" si="5"/>
        <v>17163715.749380529</v>
      </c>
      <c r="T13" s="71">
        <f t="shared" si="5"/>
        <v>19038054.749380529</v>
      </c>
      <c r="U13" s="104"/>
    </row>
    <row r="14" spans="1:32" x14ac:dyDescent="0.25"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32" x14ac:dyDescent="0.25">
      <c r="B15" s="69" t="s">
        <v>43</v>
      </c>
      <c r="C15" s="74">
        <v>0.13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</row>
    <row r="16" spans="1:32" x14ac:dyDescent="0.25">
      <c r="B16" s="68" t="s">
        <v>44</v>
      </c>
      <c r="C16" s="75">
        <v>7.0000000000000007E-2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2:21" x14ac:dyDescent="0.25">
      <c r="B17" s="68" t="s">
        <v>45</v>
      </c>
      <c r="C17" s="99">
        <f>U8/U4</f>
        <v>0.27736676202198285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100"/>
    </row>
    <row r="18" spans="2:21" x14ac:dyDescent="0.25">
      <c r="B18" s="68" t="s">
        <v>46</v>
      </c>
      <c r="C18" s="98">
        <f>(U4-U5-U6-U10)/U10</f>
        <v>9.9132558302131482E-2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2:21" x14ac:dyDescent="0.25"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2:21" x14ac:dyDescent="0.25">
      <c r="B20" s="66" t="s">
        <v>47</v>
      </c>
      <c r="C20" s="70">
        <f>U12</f>
        <v>19038054.749380529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2:21" ht="39.6" x14ac:dyDescent="0.25">
      <c r="B21" s="67" t="s">
        <v>94</v>
      </c>
      <c r="C21" s="70">
        <f>T13</f>
        <v>19038054.749380529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2:21" x14ac:dyDescent="0.25"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2:21" x14ac:dyDescent="0.25"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spans="2:21" x14ac:dyDescent="0.25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2:21" x14ac:dyDescent="0.25"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</sheetData>
  <mergeCells count="3">
    <mergeCell ref="O1:T1"/>
    <mergeCell ref="C1:I1"/>
    <mergeCell ref="K1:N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"/>
  <sheetViews>
    <sheetView workbookViewId="0"/>
  </sheetViews>
  <sheetFormatPr defaultColWidth="12.5546875" defaultRowHeight="15" customHeight="1" x14ac:dyDescent="0.25"/>
  <cols>
    <col min="1" max="1" width="11.88671875" customWidth="1"/>
    <col min="2" max="2" width="20.44140625" customWidth="1"/>
    <col min="3" max="26" width="10.6640625" customWidth="1"/>
  </cols>
  <sheetData>
    <row r="1" spans="1:26" ht="15.75" customHeight="1" x14ac:dyDescent="0.25">
      <c r="A1" s="1" t="s">
        <v>23</v>
      </c>
      <c r="B1" s="14"/>
      <c r="C1" s="15" t="s">
        <v>24</v>
      </c>
      <c r="D1" s="15" t="s">
        <v>25</v>
      </c>
      <c r="E1" s="15" t="s">
        <v>26</v>
      </c>
      <c r="F1" s="15" t="s">
        <v>27</v>
      </c>
      <c r="G1" s="15" t="s">
        <v>28</v>
      </c>
      <c r="H1" s="15" t="s">
        <v>29</v>
      </c>
      <c r="I1" s="15" t="s">
        <v>30</v>
      </c>
      <c r="J1" s="15" t="s">
        <v>31</v>
      </c>
      <c r="K1" s="15" t="s">
        <v>32</v>
      </c>
      <c r="L1" s="15" t="s">
        <v>33</v>
      </c>
      <c r="M1" s="15" t="s">
        <v>34</v>
      </c>
      <c r="N1" s="15" t="s">
        <v>35</v>
      </c>
      <c r="O1" s="4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customHeight="1" x14ac:dyDescent="0.25">
      <c r="A2" s="17" t="s">
        <v>1</v>
      </c>
      <c r="B2" s="18" t="s">
        <v>2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3">
        <v>12</v>
      </c>
      <c r="O2" s="7" t="s">
        <v>3</v>
      </c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2.75" customHeight="1" x14ac:dyDescent="0.25">
      <c r="A3" s="14"/>
      <c r="B3" s="19" t="s">
        <v>36</v>
      </c>
      <c r="C3" s="20">
        <f>'Финансовая модель '!C4</f>
        <v>0</v>
      </c>
      <c r="D3" s="20">
        <f>'Финансовая модель '!D4</f>
        <v>0</v>
      </c>
      <c r="E3" s="20">
        <f>'Финансовая модель '!E4</f>
        <v>0</v>
      </c>
      <c r="F3" s="20">
        <f>'Финансовая модель '!F4</f>
        <v>0</v>
      </c>
      <c r="G3" s="20">
        <f>'Финансовая модель '!G4</f>
        <v>0</v>
      </c>
      <c r="H3" s="20">
        <f>'Финансовая модель '!H4</f>
        <v>0</v>
      </c>
      <c r="I3" s="20">
        <f>'Финансовая модель '!I4</f>
        <v>20000</v>
      </c>
      <c r="J3" s="20">
        <f>'Финансовая модель '!J4</f>
        <v>732200</v>
      </c>
      <c r="K3" s="20">
        <f>'Финансовая модель '!P4</f>
        <v>2732800</v>
      </c>
      <c r="L3" s="20">
        <f>'Финансовая модель '!Q4</f>
        <v>3232800</v>
      </c>
      <c r="M3" s="20">
        <f>'Финансовая модель '!R4</f>
        <v>3232800</v>
      </c>
      <c r="N3" s="20">
        <f>'Финансовая модель '!T4</f>
        <v>3232800</v>
      </c>
      <c r="O3" s="21">
        <f>'Финансовая модель '!U4</f>
        <v>32579900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2.75" customHeight="1" x14ac:dyDescent="0.25">
      <c r="A4" s="14"/>
      <c r="B4" s="19" t="s">
        <v>7</v>
      </c>
      <c r="C4" s="20">
        <f>'Финансовая модель '!C45</f>
        <v>1300.99</v>
      </c>
      <c r="D4" s="20">
        <f>'Финансовая модель '!D45</f>
        <v>200</v>
      </c>
      <c r="E4" s="20">
        <f>'Финансовая модель '!E45</f>
        <v>200</v>
      </c>
      <c r="F4" s="20">
        <f>'Финансовая модель '!F45</f>
        <v>200</v>
      </c>
      <c r="G4" s="20">
        <f>'Финансовая модель '!G45</f>
        <v>200</v>
      </c>
      <c r="H4" s="20">
        <f>'Финансовая модель '!H45</f>
        <v>10200</v>
      </c>
      <c r="I4" s="20">
        <f>'Финансовая модель '!I45</f>
        <v>20200</v>
      </c>
      <c r="J4" s="20">
        <f>'Финансовая модель '!J45</f>
        <v>30700</v>
      </c>
      <c r="K4" s="20">
        <f>'Финансовая модель '!P45</f>
        <v>50700</v>
      </c>
      <c r="L4" s="20">
        <f>'Финансовая модель '!Q45</f>
        <v>42200</v>
      </c>
      <c r="M4" s="20">
        <f>'Финансовая модель '!R45</f>
        <v>42200</v>
      </c>
      <c r="N4" s="20">
        <f>'Финансовая модель '!T45</f>
        <v>42200</v>
      </c>
      <c r="O4" s="21">
        <f>'Финансовая модель '!U45</f>
        <v>536200.99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2.75" customHeight="1" x14ac:dyDescent="0.25">
      <c r="A5" s="14"/>
      <c r="B5" s="19" t="s">
        <v>37</v>
      </c>
      <c r="C5" s="20">
        <f>'Финансовая модель '!C53</f>
        <v>0</v>
      </c>
      <c r="D5" s="20">
        <f>'Финансовая модель '!D53</f>
        <v>3760</v>
      </c>
      <c r="E5" s="20">
        <f>'Финансовая модель '!E53</f>
        <v>248750</v>
      </c>
      <c r="F5" s="20">
        <f>'Финансовая модель '!F53</f>
        <v>248750</v>
      </c>
      <c r="G5" s="20">
        <f>'Финансовая модель '!G53</f>
        <v>3006720</v>
      </c>
      <c r="H5" s="20">
        <f>'Финансовая модель '!H53</f>
        <v>2996720</v>
      </c>
      <c r="I5" s="20">
        <f>'Финансовая модель '!I53</f>
        <v>3400800.64</v>
      </c>
      <c r="J5" s="20">
        <f>'Финансовая модель '!J53</f>
        <v>672293</v>
      </c>
      <c r="K5" s="20">
        <f>'Финансовая модель '!P53</f>
        <v>1072293</v>
      </c>
      <c r="L5" s="20">
        <f>'Финансовая модель '!Q53</f>
        <v>1122293</v>
      </c>
      <c r="M5" s="20">
        <f>'Финансовая модель '!R53</f>
        <v>1122293</v>
      </c>
      <c r="N5" s="20">
        <f>'Финансовая модель '!T53</f>
        <v>1122293</v>
      </c>
      <c r="O5" s="21">
        <f>'Финансовая модель '!U53</f>
        <v>21050723.640000001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.75" customHeight="1" x14ac:dyDescent="0.25">
      <c r="A6" s="14"/>
      <c r="B6" s="19" t="s">
        <v>38</v>
      </c>
      <c r="C6" s="20">
        <f>'Финансовая модель '!C78</f>
        <v>-1300.99</v>
      </c>
      <c r="D6" s="20">
        <f>'Финансовая модель '!D78</f>
        <v>-3960</v>
      </c>
      <c r="E6" s="20">
        <f>'Финансовая модель '!E78</f>
        <v>-248950</v>
      </c>
      <c r="F6" s="20">
        <f>'Финансовая модель '!F78</f>
        <v>-248950</v>
      </c>
      <c r="G6" s="20">
        <f>'Финансовая модель '!G78</f>
        <v>-3006920</v>
      </c>
      <c r="H6" s="20">
        <f>'Финансовая модель '!H78</f>
        <v>-3006920</v>
      </c>
      <c r="I6" s="20">
        <f>'Финансовая модель '!I78</f>
        <v>-3401000.64</v>
      </c>
      <c r="J6" s="20">
        <f>'Финансовая модель '!J78</f>
        <v>29207</v>
      </c>
      <c r="K6" s="20">
        <f>'Финансовая модель '!P78</f>
        <v>1609807</v>
      </c>
      <c r="L6" s="20">
        <f>'Финансовая модель '!Q78</f>
        <v>2068307</v>
      </c>
      <c r="M6" s="20">
        <f>'Финансовая модель '!R78</f>
        <v>2068307</v>
      </c>
      <c r="N6" s="20">
        <f>'Финансовая модель '!T78</f>
        <v>2068307</v>
      </c>
      <c r="O6" s="21" t="e">
        <f t="shared" ref="O6:O8" si="0">#REF!</f>
        <v>#REF!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2.75" customHeight="1" x14ac:dyDescent="0.25">
      <c r="A7" s="14"/>
      <c r="B7" s="19" t="s">
        <v>19</v>
      </c>
      <c r="C7" s="20">
        <f>'Финансовая модель '!C80</f>
        <v>-1300.99</v>
      </c>
      <c r="D7" s="20">
        <f>'Финансовая модель '!D80</f>
        <v>-3960</v>
      </c>
      <c r="E7" s="20">
        <f>'Финансовая модель '!E80</f>
        <v>-248950</v>
      </c>
      <c r="F7" s="20">
        <f>'Финансовая модель '!F80</f>
        <v>-248950</v>
      </c>
      <c r="G7" s="20">
        <f>'Финансовая модель '!G80</f>
        <v>-3008520</v>
      </c>
      <c r="H7" s="20">
        <f>'Финансовая модель '!H80</f>
        <v>-3006920</v>
      </c>
      <c r="I7" s="20">
        <f>'Финансовая модель '!I80</f>
        <v>-3402200.64</v>
      </c>
      <c r="J7" s="20">
        <f>'Финансовая модель '!J80</f>
        <v>-14725</v>
      </c>
      <c r="K7" s="20">
        <f>'Финансовая модель '!P80</f>
        <v>1445839</v>
      </c>
      <c r="L7" s="20">
        <f>'Финансовая модель '!Q80</f>
        <v>1874339</v>
      </c>
      <c r="M7" s="20">
        <f>'Финансовая модель '!R80</f>
        <v>1874339</v>
      </c>
      <c r="N7" s="20">
        <f>'Финансовая модель '!T80</f>
        <v>1874339</v>
      </c>
      <c r="O7" s="21" t="e">
        <f t="shared" si="0"/>
        <v>#REF!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2.75" customHeight="1" x14ac:dyDescent="0.25">
      <c r="A8" s="14"/>
      <c r="B8" s="19" t="s">
        <v>20</v>
      </c>
      <c r="C8" s="22">
        <f>'Финансовая модель '!C81</f>
        <v>0</v>
      </c>
      <c r="D8" s="22">
        <f>'Финансовая модель '!D81</f>
        <v>0</v>
      </c>
      <c r="E8" s="22">
        <f>'Финансовая модель '!E81</f>
        <v>0</v>
      </c>
      <c r="F8" s="22">
        <f>'Финансовая модель '!F81</f>
        <v>0</v>
      </c>
      <c r="G8" s="22">
        <f>'Финансовая модель '!G81</f>
        <v>0</v>
      </c>
      <c r="H8" s="22">
        <f>'Финансовая модель '!H81</f>
        <v>0</v>
      </c>
      <c r="I8" s="22">
        <f>'Финансовая модель '!I81</f>
        <v>-170.11003200000002</v>
      </c>
      <c r="J8" s="22">
        <f>'Финансовая модель '!J81</f>
        <v>-2.0110625512155148E-2</v>
      </c>
      <c r="K8" s="22">
        <f>'Финансовая модель '!P81</f>
        <v>0.52906872072599531</v>
      </c>
      <c r="L8" s="22">
        <f>'Финансовая модель '!Q81</f>
        <v>0.5797881093788666</v>
      </c>
      <c r="M8" s="22">
        <f>'Финансовая модель '!R81</f>
        <v>0.5797881093788666</v>
      </c>
      <c r="N8" s="22">
        <f>'Финансовая модель '!T81</f>
        <v>0.5797881093788666</v>
      </c>
      <c r="O8" s="21" t="e">
        <f t="shared" si="0"/>
        <v>#REF!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 x14ac:dyDescent="0.25">
      <c r="A9" s="14"/>
      <c r="B9" s="23" t="s">
        <v>39</v>
      </c>
      <c r="C9" s="24">
        <f>'Финансовая модель '!C83</f>
        <v>1300.99</v>
      </c>
      <c r="D9" s="24">
        <f>'Финансовая модель '!D83</f>
        <v>200</v>
      </c>
      <c r="E9" s="24">
        <f>'Финансовая модель '!E83</f>
        <v>0</v>
      </c>
      <c r="F9" s="24">
        <f>'Финансовая модель '!F83</f>
        <v>0</v>
      </c>
      <c r="G9" s="24">
        <f>'Финансовая модель '!G83</f>
        <v>0</v>
      </c>
      <c r="H9" s="24">
        <f>'Финансовая модель '!H83</f>
        <v>0</v>
      </c>
      <c r="I9" s="24">
        <f>'Финансовая модель '!I83</f>
        <v>0</v>
      </c>
      <c r="J9" s="24">
        <f>'Финансовая модель '!J83</f>
        <v>0</v>
      </c>
      <c r="K9" s="24">
        <f>'Финансовая модель '!P83</f>
        <v>0</v>
      </c>
      <c r="L9" s="24">
        <f>'Финансовая модель '!Q83</f>
        <v>0</v>
      </c>
      <c r="M9" s="24">
        <f>'Финансовая модель '!R83</f>
        <v>0</v>
      </c>
      <c r="N9" s="24">
        <f>'Финансовая модель '!T83</f>
        <v>0</v>
      </c>
      <c r="O9" s="21">
        <f>SUM(C9:N9)</f>
        <v>1500.99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2.75" customHeight="1" x14ac:dyDescent="0.25">
      <c r="A10" s="14"/>
      <c r="B10" s="19" t="s">
        <v>40</v>
      </c>
      <c r="C10" s="20">
        <f>'Финансовая модель '!C87</f>
        <v>0</v>
      </c>
      <c r="D10" s="20">
        <f>'Финансовая модель '!D87</f>
        <v>240</v>
      </c>
      <c r="E10" s="20">
        <f>'Финансовая модель '!E87</f>
        <v>1050</v>
      </c>
      <c r="F10" s="20">
        <f>'Финансовая модель '!F87</f>
        <v>1050</v>
      </c>
      <c r="G10" s="20">
        <f>'Финансовая модель '!G87</f>
        <v>3080</v>
      </c>
      <c r="H10" s="20">
        <f>'Финансовая модель '!H87</f>
        <v>3080</v>
      </c>
      <c r="I10" s="20">
        <f>'Финансовая модель '!I87</f>
        <v>74999.35999999987</v>
      </c>
      <c r="J10" s="20">
        <f>'Финансовая модель '!J87</f>
        <v>29207</v>
      </c>
      <c r="K10" s="20">
        <f>'Финансовая модель '!P87</f>
        <v>1609807</v>
      </c>
      <c r="L10" s="20">
        <f>'Финансовая модель '!Q87</f>
        <v>2068307</v>
      </c>
      <c r="M10" s="20">
        <f>'Финансовая модель '!R87</f>
        <v>2068307</v>
      </c>
      <c r="N10" s="20">
        <f>'Финансовая модель '!T87</f>
        <v>2068307</v>
      </c>
      <c r="O10" s="7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2.75" customHeight="1" x14ac:dyDescent="0.25">
      <c r="A11" s="14"/>
      <c r="B11" s="19" t="s">
        <v>41</v>
      </c>
      <c r="C11" s="25">
        <f t="shared" ref="C11:N11" si="1">C10/(1+$C$14/4)^C2</f>
        <v>0</v>
      </c>
      <c r="D11" s="25">
        <f t="shared" si="1"/>
        <v>224.86283959644277</v>
      </c>
      <c r="E11" s="25">
        <f t="shared" si="1"/>
        <v>952.24559544640886</v>
      </c>
      <c r="F11" s="25">
        <f t="shared" si="1"/>
        <v>921.72676150945017</v>
      </c>
      <c r="G11" s="25">
        <f t="shared" si="1"/>
        <v>2617.0790382645941</v>
      </c>
      <c r="H11" s="25">
        <f t="shared" si="1"/>
        <v>2533.2034068616995</v>
      </c>
      <c r="I11" s="25">
        <f t="shared" si="1"/>
        <v>59707.670684240227</v>
      </c>
      <c r="J11" s="25">
        <f t="shared" si="1"/>
        <v>22506.747909056674</v>
      </c>
      <c r="K11" s="25">
        <f t="shared" si="1"/>
        <v>1200750.654179641</v>
      </c>
      <c r="L11" s="25">
        <f t="shared" si="1"/>
        <v>1493300.6243323174</v>
      </c>
      <c r="M11" s="25">
        <f t="shared" si="1"/>
        <v>1445441.3388812887</v>
      </c>
      <c r="N11" s="25">
        <f t="shared" si="1"/>
        <v>1399115.9114937738</v>
      </c>
      <c r="O11" s="7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2.75" customHeight="1" x14ac:dyDescent="0.25">
      <c r="A12" s="14"/>
      <c r="B12" s="19" t="s">
        <v>42</v>
      </c>
      <c r="C12" s="24">
        <f>C11</f>
        <v>0</v>
      </c>
      <c r="D12" s="24">
        <f t="shared" ref="D12:N12" si="2">D11+C12</f>
        <v>224.86283959644277</v>
      </c>
      <c r="E12" s="24">
        <f t="shared" si="2"/>
        <v>1177.1084350428516</v>
      </c>
      <c r="F12" s="24">
        <f t="shared" si="2"/>
        <v>2098.8351965523016</v>
      </c>
      <c r="G12" s="24">
        <f t="shared" si="2"/>
        <v>4715.9142348168953</v>
      </c>
      <c r="H12" s="24">
        <f t="shared" si="2"/>
        <v>7249.1176416785947</v>
      </c>
      <c r="I12" s="24">
        <f t="shared" si="2"/>
        <v>66956.788325918824</v>
      </c>
      <c r="J12" s="24">
        <f t="shared" si="2"/>
        <v>89463.536234975501</v>
      </c>
      <c r="K12" s="24">
        <f t="shared" si="2"/>
        <v>1290214.1904146166</v>
      </c>
      <c r="L12" s="24">
        <f t="shared" si="2"/>
        <v>2783514.814746934</v>
      </c>
      <c r="M12" s="24">
        <f t="shared" si="2"/>
        <v>4228956.1536282226</v>
      </c>
      <c r="N12" s="24">
        <f t="shared" si="2"/>
        <v>5628072.0651219962</v>
      </c>
      <c r="O12" s="7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2.7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2.75" customHeight="1" x14ac:dyDescent="0.25">
      <c r="A14" s="14"/>
      <c r="B14" s="21" t="s">
        <v>43</v>
      </c>
      <c r="C14" s="21">
        <f>C15+C16*(C17-C15)</f>
        <v>0.132442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2.75" customHeight="1" x14ac:dyDescent="0.25">
      <c r="A15" s="14"/>
      <c r="B15" s="26" t="s">
        <v>44</v>
      </c>
      <c r="C15" s="27">
        <v>7.4499999999999997E-2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2.75" customHeight="1" x14ac:dyDescent="0.25">
      <c r="A16" s="14"/>
      <c r="B16" s="26" t="s">
        <v>45</v>
      </c>
      <c r="C16" s="28">
        <v>0.87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2.75" customHeight="1" x14ac:dyDescent="0.25">
      <c r="A17" s="14"/>
      <c r="B17" s="26" t="s">
        <v>46</v>
      </c>
      <c r="C17" s="27">
        <v>0.1411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2.75" customHeight="1" x14ac:dyDescent="0.25">
      <c r="A18" s="14"/>
      <c r="B18" s="16"/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2.75" customHeight="1" x14ac:dyDescent="0.25">
      <c r="A19" s="14"/>
      <c r="B19" s="21" t="s">
        <v>47</v>
      </c>
      <c r="C19" s="21">
        <f>SUM(C11:N11)</f>
        <v>5628072.0651219962</v>
      </c>
      <c r="D19" s="14"/>
      <c r="E19" s="14"/>
      <c r="F19" s="14"/>
      <c r="G19" s="14"/>
      <c r="H19" s="29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2.75" customHeight="1" x14ac:dyDescent="0.25">
      <c r="A20" s="14"/>
      <c r="B20" s="30" t="s">
        <v>48</v>
      </c>
      <c r="C20" s="21">
        <f>N12</f>
        <v>5628072.0651219962</v>
      </c>
      <c r="D20" s="14"/>
      <c r="E20" s="14"/>
      <c r="F20" s="14"/>
      <c r="G20" s="14"/>
      <c r="H20" s="29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2.75" customHeight="1" x14ac:dyDescent="0.25">
      <c r="A21" s="14"/>
      <c r="B21" s="16"/>
      <c r="C21" s="16"/>
      <c r="D21" s="14"/>
      <c r="E21" s="14"/>
      <c r="F21" s="14"/>
      <c r="G21" s="14"/>
      <c r="H21" s="29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5">
      <c r="A22" s="14"/>
      <c r="B22" s="16"/>
      <c r="C22" s="31"/>
      <c r="D22" s="32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14"/>
      <c r="B23" s="16"/>
      <c r="C23" s="31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2.7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2.7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75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2.7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2.7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2.7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2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2.7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2.7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2.7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2.7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2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2.7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2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2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2.7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2.7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2.7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2.7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2.7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2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2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2.7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2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2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2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2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2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2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2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2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2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2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2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2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2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2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2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2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2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2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2.75" customHeight="1" x14ac:dyDescent="0.25">
      <c r="A74" s="14"/>
      <c r="D74" s="33" t="s">
        <v>49</v>
      </c>
      <c r="E74" s="33">
        <f>SUM(C9:K9)/L10</f>
        <v>7.2570948123271833E-4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2.75" customHeight="1" x14ac:dyDescent="0.25">
      <c r="A75" s="14"/>
      <c r="D75" s="33" t="s">
        <v>50</v>
      </c>
      <c r="E75" s="34">
        <f>C19/O9</f>
        <v>3749.5733250201506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2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2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2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2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2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2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2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2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2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2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2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2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2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2.7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2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2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2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2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2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2.7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2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2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2.7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2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2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Финансовая модель </vt:lpstr>
      <vt:lpstr>Инвестиции</vt:lpstr>
      <vt:lpstr>Инвест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Овчарова Людмила Владимировна</dc:creator>
  <cp:lastModifiedBy>Артем Овчаров</cp:lastModifiedBy>
  <dcterms:created xsi:type="dcterms:W3CDTF">2024-04-10T14:12:15Z</dcterms:created>
  <dcterms:modified xsi:type="dcterms:W3CDTF">2024-07-18T16:57:51Z</dcterms:modified>
</cp:coreProperties>
</file>