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aria\Downloads\"/>
    </mc:Choice>
  </mc:AlternateContent>
  <xr:revisionPtr revIDLastSave="0" documentId="13_ncr:1_{2C1AC54E-A63E-4A39-9CE3-4268DB14DE49}" xr6:coauthVersionLast="47" xr6:coauthVersionMax="47" xr10:uidLastSave="{00000000-0000-0000-0000-000000000000}"/>
  <bookViews>
    <workbookView xWindow="828" yWindow="-108" windowWidth="22320" windowHeight="13176" xr2:uid="{00000000-000D-0000-FFFF-FFFF00000000}"/>
  </bookViews>
  <sheets>
    <sheet name="Затраты" sheetId="1" r:id="rId1"/>
    <sheet name="Прогноз продаж" sheetId="2" r:id="rId2"/>
    <sheet name="ФинПлан" sheetId="3" r:id="rId3"/>
    <sheet name="Основные показатели проекта" sheetId="4" r:id="rId4"/>
    <sheet name="Точка безубыточности" sheetId="5" r:id="rId5"/>
    <sheet name="Расчет рисков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6" l="1"/>
  <c r="L25" i="6"/>
  <c r="L27" i="6"/>
  <c r="L22" i="6"/>
  <c r="L23" i="6"/>
  <c r="L26" i="6"/>
  <c r="L20" i="6"/>
  <c r="L21" i="6"/>
  <c r="L24" i="6"/>
  <c r="L28" i="6"/>
  <c r="G16" i="6"/>
  <c r="G17" i="6"/>
  <c r="G18" i="6"/>
  <c r="G19" i="6"/>
  <c r="G20" i="6"/>
  <c r="G21" i="6"/>
  <c r="G22" i="6"/>
  <c r="G23" i="6"/>
  <c r="G24" i="6"/>
  <c r="G25" i="6"/>
  <c r="G26" i="6"/>
  <c r="G27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B20" i="4"/>
  <c r="E4" i="4"/>
  <c r="B23" i="4" s="1"/>
  <c r="D4" i="4"/>
  <c r="C4" i="4"/>
  <c r="C5" i="4" s="1"/>
  <c r="B4" i="4"/>
  <c r="D105" i="3"/>
  <c r="E105" i="3"/>
  <c r="F105" i="3"/>
  <c r="C105" i="3"/>
  <c r="G68" i="3"/>
  <c r="D68" i="3"/>
  <c r="E68" i="3"/>
  <c r="F68" i="3"/>
  <c r="C68" i="3"/>
  <c r="D29" i="3"/>
  <c r="E29" i="3"/>
  <c r="F29" i="3"/>
  <c r="C29" i="3"/>
  <c r="B22" i="4"/>
  <c r="B21" i="4"/>
  <c r="B24" i="4" l="1"/>
  <c r="D6" i="4" l="1"/>
  <c r="C6" i="4"/>
  <c r="E6" i="4"/>
  <c r="D5" i="4"/>
  <c r="E5" i="4"/>
  <c r="E7" i="4" s="1"/>
  <c r="B5" i="4"/>
  <c r="B7" i="4" s="1"/>
  <c r="T68" i="2"/>
  <c r="F59" i="3"/>
  <c r="S50" i="2"/>
  <c r="T27" i="2"/>
  <c r="T32" i="2"/>
  <c r="S32" i="2"/>
  <c r="T63" i="2"/>
  <c r="S68" i="2"/>
  <c r="T50" i="2"/>
  <c r="Q50" i="2"/>
  <c r="T45" i="2"/>
  <c r="D110" i="3"/>
  <c r="D106" i="3" s="1"/>
  <c r="E110" i="3"/>
  <c r="E106" i="3" s="1"/>
  <c r="F110" i="3"/>
  <c r="C110" i="3"/>
  <c r="C106" i="3" s="1"/>
  <c r="D126" i="3"/>
  <c r="E126" i="3"/>
  <c r="F126" i="3"/>
  <c r="D129" i="3"/>
  <c r="E129" i="3"/>
  <c r="F129" i="3"/>
  <c r="D130" i="3"/>
  <c r="E130" i="3"/>
  <c r="F130" i="3"/>
  <c r="C130" i="3"/>
  <c r="C129" i="3"/>
  <c r="G129" i="3" s="1"/>
  <c r="C126" i="3"/>
  <c r="G132" i="3"/>
  <c r="G131" i="3"/>
  <c r="G128" i="3"/>
  <c r="G127" i="3"/>
  <c r="G125" i="3"/>
  <c r="G124" i="3"/>
  <c r="G123" i="3"/>
  <c r="G121" i="3"/>
  <c r="G119" i="3"/>
  <c r="G118" i="3"/>
  <c r="G117" i="3"/>
  <c r="G116" i="3"/>
  <c r="G115" i="3"/>
  <c r="G114" i="3"/>
  <c r="G113" i="3"/>
  <c r="G112" i="3"/>
  <c r="G111" i="3"/>
  <c r="G109" i="3"/>
  <c r="G108" i="3"/>
  <c r="F106" i="3"/>
  <c r="F133" i="3" s="1"/>
  <c r="G104" i="3"/>
  <c r="F103" i="3"/>
  <c r="E103" i="3"/>
  <c r="D103" i="3"/>
  <c r="C103" i="3"/>
  <c r="D70" i="3"/>
  <c r="E70" i="3"/>
  <c r="F70" i="3"/>
  <c r="D73" i="3"/>
  <c r="E73" i="3"/>
  <c r="F73" i="3"/>
  <c r="D84" i="3"/>
  <c r="E84" i="3"/>
  <c r="F84" i="3"/>
  <c r="D85" i="3"/>
  <c r="E85" i="3"/>
  <c r="F85" i="3"/>
  <c r="D86" i="3"/>
  <c r="E86" i="3"/>
  <c r="F86" i="3"/>
  <c r="D87" i="3"/>
  <c r="E87" i="3"/>
  <c r="F87" i="3"/>
  <c r="D88" i="3"/>
  <c r="E88" i="3"/>
  <c r="F88" i="3"/>
  <c r="D89" i="3"/>
  <c r="E89" i="3"/>
  <c r="F89" i="3"/>
  <c r="D90" i="3"/>
  <c r="E90" i="3"/>
  <c r="F90" i="3"/>
  <c r="D91" i="3"/>
  <c r="E91" i="3"/>
  <c r="F91" i="3"/>
  <c r="D92" i="3"/>
  <c r="E92" i="3"/>
  <c r="F92" i="3"/>
  <c r="D93" i="3"/>
  <c r="E93" i="3"/>
  <c r="F93" i="3"/>
  <c r="D94" i="3"/>
  <c r="E94" i="3"/>
  <c r="F94" i="3"/>
  <c r="D95" i="3"/>
  <c r="E95" i="3"/>
  <c r="F95" i="3"/>
  <c r="C95" i="3"/>
  <c r="C94" i="3"/>
  <c r="C93" i="3"/>
  <c r="C92" i="3"/>
  <c r="C91" i="3"/>
  <c r="C90" i="3"/>
  <c r="C89" i="3"/>
  <c r="C88" i="3"/>
  <c r="C87" i="3"/>
  <c r="C86" i="3"/>
  <c r="C85" i="3"/>
  <c r="C84" i="3"/>
  <c r="G84" i="3" s="1"/>
  <c r="C44" i="3"/>
  <c r="G44" i="3" s="1"/>
  <c r="C73" i="3"/>
  <c r="C70" i="3"/>
  <c r="G82" i="3"/>
  <c r="G81" i="3"/>
  <c r="G78" i="3"/>
  <c r="G77" i="3"/>
  <c r="G74" i="3"/>
  <c r="G72" i="3"/>
  <c r="G71" i="3"/>
  <c r="G67" i="3"/>
  <c r="F66" i="3"/>
  <c r="E66" i="3"/>
  <c r="D66" i="3"/>
  <c r="D27" i="3"/>
  <c r="E27" i="3"/>
  <c r="F27" i="3"/>
  <c r="C28" i="3"/>
  <c r="C27" i="3" s="1"/>
  <c r="D46" i="3"/>
  <c r="E46" i="3"/>
  <c r="F46" i="3"/>
  <c r="D47" i="3"/>
  <c r="E47" i="3"/>
  <c r="F47" i="3"/>
  <c r="D48" i="3"/>
  <c r="E48" i="3"/>
  <c r="F48" i="3"/>
  <c r="D49" i="3"/>
  <c r="E49" i="3"/>
  <c r="F49" i="3"/>
  <c r="D50" i="3"/>
  <c r="E50" i="3"/>
  <c r="F50" i="3"/>
  <c r="D51" i="3"/>
  <c r="E51" i="3"/>
  <c r="F51" i="3"/>
  <c r="D52" i="3"/>
  <c r="E52" i="3"/>
  <c r="F52" i="3"/>
  <c r="D53" i="3"/>
  <c r="E53" i="3"/>
  <c r="F53" i="3"/>
  <c r="D54" i="3"/>
  <c r="E54" i="3"/>
  <c r="F54" i="3"/>
  <c r="D55" i="3"/>
  <c r="E55" i="3"/>
  <c r="F55" i="3"/>
  <c r="D56" i="3"/>
  <c r="E56" i="3"/>
  <c r="F56" i="3"/>
  <c r="D57" i="3"/>
  <c r="E57" i="3"/>
  <c r="F57" i="3"/>
  <c r="D58" i="3"/>
  <c r="E58" i="3"/>
  <c r="F58" i="3"/>
  <c r="C58" i="3"/>
  <c r="C57" i="3"/>
  <c r="C56" i="3"/>
  <c r="C55" i="3"/>
  <c r="C54" i="3"/>
  <c r="C53" i="3"/>
  <c r="C52" i="3"/>
  <c r="C51" i="3"/>
  <c r="C50" i="3"/>
  <c r="C47" i="3"/>
  <c r="C48" i="3"/>
  <c r="C49" i="3"/>
  <c r="C46" i="3"/>
  <c r="G35" i="3"/>
  <c r="G36" i="3"/>
  <c r="G40" i="3"/>
  <c r="D43" i="3"/>
  <c r="E43" i="3"/>
  <c r="F43" i="3"/>
  <c r="C43" i="3"/>
  <c r="D41" i="3"/>
  <c r="E41" i="3"/>
  <c r="F41" i="3"/>
  <c r="D42" i="3"/>
  <c r="E42" i="3"/>
  <c r="F42" i="3"/>
  <c r="C42" i="3"/>
  <c r="C41" i="3"/>
  <c r="D39" i="3"/>
  <c r="E39" i="3"/>
  <c r="F39" i="3"/>
  <c r="C39" i="3"/>
  <c r="D38" i="3"/>
  <c r="E38" i="3"/>
  <c r="F38" i="3"/>
  <c r="C38" i="3"/>
  <c r="D37" i="3"/>
  <c r="E37" i="3"/>
  <c r="F37" i="3"/>
  <c r="C37" i="3"/>
  <c r="E34" i="3"/>
  <c r="F34" i="3"/>
  <c r="D34" i="3"/>
  <c r="C34" i="3"/>
  <c r="D33" i="3"/>
  <c r="E33" i="3"/>
  <c r="F33" i="3"/>
  <c r="C33" i="3"/>
  <c r="D32" i="3"/>
  <c r="E32" i="3"/>
  <c r="F32" i="3"/>
  <c r="C32" i="3"/>
  <c r="D31" i="3"/>
  <c r="E31" i="3"/>
  <c r="F31" i="3"/>
  <c r="C31" i="3"/>
  <c r="G31" i="3" s="1"/>
  <c r="O16" i="3"/>
  <c r="O12" i="3"/>
  <c r="O13" i="3"/>
  <c r="O11" i="3"/>
  <c r="O9" i="3"/>
  <c r="O19" i="3"/>
  <c r="O18" i="3"/>
  <c r="O17" i="3"/>
  <c r="O15" i="3"/>
  <c r="O14" i="3"/>
  <c r="I5" i="3"/>
  <c r="I4" i="3" s="1"/>
  <c r="C10" i="3"/>
  <c r="C8" i="3" s="1"/>
  <c r="C6" i="3"/>
  <c r="C4" i="3" s="1"/>
  <c r="D8" i="3"/>
  <c r="D7" i="3" s="1"/>
  <c r="E8" i="3"/>
  <c r="E7" i="3" s="1"/>
  <c r="F8" i="3"/>
  <c r="F7" i="3" s="1"/>
  <c r="G8" i="3"/>
  <c r="G7" i="3" s="1"/>
  <c r="H8" i="3"/>
  <c r="H7" i="3" s="1"/>
  <c r="I8" i="3"/>
  <c r="I7" i="3" s="1"/>
  <c r="J8" i="3"/>
  <c r="J7" i="3" s="1"/>
  <c r="K8" i="3"/>
  <c r="K7" i="3" s="1"/>
  <c r="L8" i="3"/>
  <c r="L7" i="3" s="1"/>
  <c r="M8" i="3"/>
  <c r="M7" i="3" s="1"/>
  <c r="N8" i="3"/>
  <c r="N7" i="3" s="1"/>
  <c r="S69" i="2"/>
  <c r="R68" i="2"/>
  <c r="T69" i="2"/>
  <c r="R69" i="2"/>
  <c r="Q69" i="2"/>
  <c r="M68" i="2"/>
  <c r="L68" i="2"/>
  <c r="K68" i="2"/>
  <c r="J68" i="2"/>
  <c r="E68" i="2"/>
  <c r="D68" i="2"/>
  <c r="C68" i="2"/>
  <c r="B68" i="2"/>
  <c r="U67" i="2"/>
  <c r="N67" i="2"/>
  <c r="F67" i="2"/>
  <c r="N66" i="2"/>
  <c r="F66" i="2"/>
  <c r="N65" i="2"/>
  <c r="F65" i="2"/>
  <c r="S64" i="2"/>
  <c r="R64" i="2"/>
  <c r="Q64" i="2"/>
  <c r="N64" i="2"/>
  <c r="F64" i="2"/>
  <c r="U63" i="2"/>
  <c r="U62" i="2"/>
  <c r="M60" i="2"/>
  <c r="L60" i="2"/>
  <c r="K60" i="2"/>
  <c r="J60" i="2"/>
  <c r="I60" i="2"/>
  <c r="H60" i="2"/>
  <c r="G60" i="2"/>
  <c r="F60" i="2"/>
  <c r="E60" i="2"/>
  <c r="D60" i="2"/>
  <c r="C60" i="2"/>
  <c r="B60" i="2"/>
  <c r="N59" i="2"/>
  <c r="AB58" i="2"/>
  <c r="AA58" i="2"/>
  <c r="Z58" i="2"/>
  <c r="Y58" i="2"/>
  <c r="X58" i="2"/>
  <c r="W58" i="2"/>
  <c r="V58" i="2"/>
  <c r="U58" i="2"/>
  <c r="T58" i="2"/>
  <c r="S58" i="2"/>
  <c r="R58" i="2"/>
  <c r="Q58" i="2"/>
  <c r="N58" i="2"/>
  <c r="AC57" i="2"/>
  <c r="N57" i="2"/>
  <c r="AC56" i="2"/>
  <c r="N56" i="2"/>
  <c r="S27" i="2"/>
  <c r="U21" i="2"/>
  <c r="U22" i="2" s="1"/>
  <c r="AC39" i="2"/>
  <c r="AC38" i="2"/>
  <c r="U49" i="2"/>
  <c r="U44" i="2"/>
  <c r="M50" i="2"/>
  <c r="L50" i="2"/>
  <c r="K50" i="2"/>
  <c r="J50" i="2"/>
  <c r="E50" i="2"/>
  <c r="D50" i="2"/>
  <c r="C50" i="2"/>
  <c r="B50" i="2"/>
  <c r="N49" i="2"/>
  <c r="F49" i="2"/>
  <c r="N48" i="2"/>
  <c r="F48" i="2"/>
  <c r="N47" i="2"/>
  <c r="F47" i="2"/>
  <c r="N46" i="2"/>
  <c r="F46" i="2"/>
  <c r="M42" i="2"/>
  <c r="L42" i="2"/>
  <c r="K42" i="2"/>
  <c r="J42" i="2"/>
  <c r="I42" i="2"/>
  <c r="H42" i="2"/>
  <c r="G42" i="2"/>
  <c r="F42" i="2"/>
  <c r="E42" i="2"/>
  <c r="D42" i="2"/>
  <c r="C42" i="2"/>
  <c r="B42" i="2"/>
  <c r="N41" i="2"/>
  <c r="N40" i="2"/>
  <c r="N39" i="2"/>
  <c r="N38" i="2"/>
  <c r="T51" i="2"/>
  <c r="S51" i="2"/>
  <c r="R51" i="2"/>
  <c r="Q51" i="2"/>
  <c r="S46" i="2"/>
  <c r="R46" i="2"/>
  <c r="Q46" i="2"/>
  <c r="U45" i="2"/>
  <c r="AB40" i="2"/>
  <c r="AA40" i="2"/>
  <c r="Z40" i="2"/>
  <c r="Y40" i="2"/>
  <c r="X40" i="2"/>
  <c r="W40" i="2"/>
  <c r="V40" i="2"/>
  <c r="U40" i="2"/>
  <c r="T40" i="2"/>
  <c r="S40" i="2"/>
  <c r="R40" i="2"/>
  <c r="Q40" i="2"/>
  <c r="E8" i="5"/>
  <c r="E7" i="5"/>
  <c r="D14" i="2"/>
  <c r="R32" i="2"/>
  <c r="Q32" i="2"/>
  <c r="R22" i="2"/>
  <c r="S22" i="2"/>
  <c r="T22" i="2"/>
  <c r="V22" i="2"/>
  <c r="W22" i="2"/>
  <c r="X22" i="2"/>
  <c r="Y22" i="2"/>
  <c r="Z22" i="2"/>
  <c r="AA22" i="2"/>
  <c r="AB22" i="2"/>
  <c r="C24" i="2"/>
  <c r="D24" i="2"/>
  <c r="E24" i="2"/>
  <c r="F24" i="2"/>
  <c r="G24" i="2"/>
  <c r="H24" i="2"/>
  <c r="I24" i="2"/>
  <c r="J24" i="2"/>
  <c r="K24" i="2"/>
  <c r="L24" i="2"/>
  <c r="M24" i="2"/>
  <c r="B24" i="2"/>
  <c r="M32" i="2"/>
  <c r="L32" i="2"/>
  <c r="K32" i="2"/>
  <c r="J32" i="2"/>
  <c r="C32" i="2"/>
  <c r="D32" i="2"/>
  <c r="E32" i="2"/>
  <c r="B32" i="2"/>
  <c r="N21" i="2"/>
  <c r="N20" i="2"/>
  <c r="N31" i="2"/>
  <c r="N30" i="2"/>
  <c r="N29" i="2"/>
  <c r="N28" i="2"/>
  <c r="F31" i="2"/>
  <c r="F30" i="2"/>
  <c r="J11" i="2"/>
  <c r="O111" i="1"/>
  <c r="O133" i="1"/>
  <c r="AB118" i="1"/>
  <c r="AC114" i="1"/>
  <c r="AD114" i="1" s="1"/>
  <c r="AB114" i="1"/>
  <c r="AC115" i="1"/>
  <c r="AD115" i="1" s="1"/>
  <c r="AB115" i="1"/>
  <c r="S119" i="1"/>
  <c r="AA115" i="1"/>
  <c r="C116" i="1"/>
  <c r="AI130" i="1"/>
  <c r="AI110" i="1"/>
  <c r="AA118" i="1"/>
  <c r="AA114" i="1"/>
  <c r="AA117" i="1"/>
  <c r="AB117" i="1" s="1"/>
  <c r="AC117" i="1" s="1"/>
  <c r="AD117" i="1" s="1"/>
  <c r="AA144" i="1"/>
  <c r="AE144" i="1" s="1"/>
  <c r="AA142" i="1"/>
  <c r="AA140" i="1"/>
  <c r="AA139" i="1"/>
  <c r="AA137" i="1"/>
  <c r="AB137" i="1" s="1"/>
  <c r="AA136" i="1"/>
  <c r="AA135" i="1"/>
  <c r="AA133" i="1"/>
  <c r="AB133" i="1" s="1"/>
  <c r="AA131" i="1"/>
  <c r="AA130" i="1"/>
  <c r="AB130" i="1" s="1"/>
  <c r="AC130" i="1" s="1"/>
  <c r="AB129" i="1"/>
  <c r="AC129" i="1"/>
  <c r="AD129" i="1"/>
  <c r="AA129" i="1"/>
  <c r="AB142" i="1"/>
  <c r="AC142" i="1" s="1"/>
  <c r="AD142" i="1" s="1"/>
  <c r="AB140" i="1"/>
  <c r="AB139" i="1"/>
  <c r="AC139" i="1" s="1"/>
  <c r="AD139" i="1" s="1"/>
  <c r="S144" i="1"/>
  <c r="W144" i="1" s="1"/>
  <c r="S142" i="1"/>
  <c r="S140" i="1"/>
  <c r="S139" i="1"/>
  <c r="S137" i="1"/>
  <c r="T137" i="1" s="1"/>
  <c r="U137" i="1" s="1"/>
  <c r="V137" i="1" s="1"/>
  <c r="S136" i="1"/>
  <c r="T136" i="1"/>
  <c r="U136" i="1" s="1"/>
  <c r="V136" i="1" s="1"/>
  <c r="S135" i="1"/>
  <c r="T135" i="1" s="1"/>
  <c r="U135" i="1" s="1"/>
  <c r="V135" i="1" s="1"/>
  <c r="S133" i="1"/>
  <c r="T133" i="1" s="1"/>
  <c r="U133" i="1" s="1"/>
  <c r="V133" i="1" s="1"/>
  <c r="S131" i="1"/>
  <c r="T131" i="1" s="1"/>
  <c r="U131" i="1" s="1"/>
  <c r="V131" i="1" s="1"/>
  <c r="S130" i="1"/>
  <c r="T130" i="1" s="1"/>
  <c r="T129" i="1"/>
  <c r="U129" i="1"/>
  <c r="V129" i="1"/>
  <c r="S129" i="1"/>
  <c r="AA120" i="1"/>
  <c r="AA122" i="1"/>
  <c r="AA113" i="1"/>
  <c r="AA111" i="1"/>
  <c r="T109" i="1"/>
  <c r="U109" i="1" s="1"/>
  <c r="V109" i="1" s="1"/>
  <c r="AA109" i="1"/>
  <c r="AB109" i="1" s="1"/>
  <c r="AC109" i="1" s="1"/>
  <c r="AD109" i="1" s="1"/>
  <c r="AA108" i="1"/>
  <c r="AA107" i="1"/>
  <c r="AB107" i="1" s="1"/>
  <c r="AC107" i="1" s="1"/>
  <c r="AD107" i="1" s="1"/>
  <c r="S107" i="1"/>
  <c r="AE122" i="1"/>
  <c r="AI106" i="1"/>
  <c r="AI126" i="1"/>
  <c r="S118" i="1"/>
  <c r="T118" i="1" s="1"/>
  <c r="U118" i="1" s="1"/>
  <c r="V118" i="1" s="1"/>
  <c r="W118" i="1" s="1"/>
  <c r="S120" i="1"/>
  <c r="S122" i="1"/>
  <c r="W122" i="1" s="1"/>
  <c r="S117" i="1"/>
  <c r="T113" i="1"/>
  <c r="U113" i="1"/>
  <c r="V113" i="1"/>
  <c r="S113" i="1"/>
  <c r="S111" i="1"/>
  <c r="T111" i="1" s="1"/>
  <c r="U111" i="1" s="1"/>
  <c r="V111" i="1" s="1"/>
  <c r="C110" i="1"/>
  <c r="D110" i="1" s="1"/>
  <c r="E110" i="1" s="1"/>
  <c r="S109" i="1"/>
  <c r="S108" i="1"/>
  <c r="T108" i="1" s="1"/>
  <c r="U108" i="1" s="1"/>
  <c r="V108" i="1" s="1"/>
  <c r="T107" i="1"/>
  <c r="U107" i="1"/>
  <c r="U119" i="1" s="1"/>
  <c r="V107" i="1"/>
  <c r="V119" i="1" s="1"/>
  <c r="V115" i="1"/>
  <c r="U115" i="1"/>
  <c r="T115" i="1"/>
  <c r="S115" i="1"/>
  <c r="V114" i="1"/>
  <c r="U114" i="1"/>
  <c r="T114" i="1"/>
  <c r="S114" i="1"/>
  <c r="AA95" i="1"/>
  <c r="AB95" i="1" s="1"/>
  <c r="AC95" i="1" s="1"/>
  <c r="AD95" i="1" s="1"/>
  <c r="S95" i="1"/>
  <c r="T95" i="1" s="1"/>
  <c r="U95" i="1" s="1"/>
  <c r="V95" i="1" s="1"/>
  <c r="S98" i="1"/>
  <c r="T98" i="1" s="1"/>
  <c r="U98" i="1" s="1"/>
  <c r="AA98" i="1"/>
  <c r="AB98" i="1" s="1"/>
  <c r="AC98" i="1" s="1"/>
  <c r="AA91" i="1"/>
  <c r="AB91" i="1"/>
  <c r="AC91" i="1"/>
  <c r="AD91" i="1"/>
  <c r="AA89" i="1"/>
  <c r="AB89" i="1" s="1"/>
  <c r="AC89" i="1" s="1"/>
  <c r="AD89" i="1" s="1"/>
  <c r="S89" i="1"/>
  <c r="T89" i="1" s="1"/>
  <c r="U89" i="1" s="1"/>
  <c r="V89" i="1" s="1"/>
  <c r="AA86" i="1"/>
  <c r="AB86" i="1" s="1"/>
  <c r="AC86" i="1" s="1"/>
  <c r="AD86" i="1" s="1"/>
  <c r="AA87" i="1"/>
  <c r="AB87" i="1" s="1"/>
  <c r="AC87" i="1" s="1"/>
  <c r="AD87" i="1" s="1"/>
  <c r="AB85" i="1"/>
  <c r="AC85" i="1"/>
  <c r="AD85" i="1"/>
  <c r="AA85" i="1"/>
  <c r="D70" i="1"/>
  <c r="E70" i="1" s="1"/>
  <c r="F70" i="1" s="1"/>
  <c r="G70" i="1" s="1"/>
  <c r="O69" i="1"/>
  <c r="D52" i="1"/>
  <c r="E52" i="1" s="1"/>
  <c r="F52" i="1" s="1"/>
  <c r="G52" i="1" s="1"/>
  <c r="H52" i="1" s="1"/>
  <c r="O51" i="1"/>
  <c r="D34" i="1"/>
  <c r="E34" i="1" s="1"/>
  <c r="C88" i="1"/>
  <c r="D88" i="1" s="1"/>
  <c r="S88" i="1" s="1"/>
  <c r="T88" i="1" s="1"/>
  <c r="U88" i="1" s="1"/>
  <c r="V88" i="1" s="1"/>
  <c r="T87" i="1"/>
  <c r="U87" i="1"/>
  <c r="V87" i="1"/>
  <c r="S87" i="1"/>
  <c r="T86" i="1"/>
  <c r="U86" i="1"/>
  <c r="V86" i="1"/>
  <c r="S86" i="1"/>
  <c r="T85" i="1"/>
  <c r="U85" i="1"/>
  <c r="V85" i="1"/>
  <c r="S85" i="1"/>
  <c r="AB92" i="1"/>
  <c r="AC92" i="1"/>
  <c r="AD92" i="1"/>
  <c r="AA92" i="1"/>
  <c r="AA100" i="1"/>
  <c r="AE100" i="1" s="1"/>
  <c r="AB96" i="1"/>
  <c r="AC96" i="1"/>
  <c r="AD96" i="1"/>
  <c r="AA96" i="1"/>
  <c r="AB93" i="1"/>
  <c r="AC93" i="1"/>
  <c r="AD93" i="1"/>
  <c r="AA93" i="1"/>
  <c r="S100" i="1"/>
  <c r="W100" i="1" s="1"/>
  <c r="T96" i="1"/>
  <c r="U96" i="1"/>
  <c r="V96" i="1"/>
  <c r="S96" i="1"/>
  <c r="T93" i="1"/>
  <c r="U93" i="1"/>
  <c r="V93" i="1"/>
  <c r="S93" i="1"/>
  <c r="T92" i="1"/>
  <c r="U92" i="1"/>
  <c r="V92" i="1"/>
  <c r="S92" i="1"/>
  <c r="S91" i="1"/>
  <c r="T91" i="1"/>
  <c r="U91" i="1"/>
  <c r="V91" i="1"/>
  <c r="O89" i="1"/>
  <c r="AI85" i="1"/>
  <c r="D143" i="1"/>
  <c r="E143" i="1"/>
  <c r="F143" i="1"/>
  <c r="G143" i="1"/>
  <c r="H143" i="1"/>
  <c r="I143" i="1"/>
  <c r="J143" i="1"/>
  <c r="K143" i="1"/>
  <c r="L143" i="1"/>
  <c r="M143" i="1"/>
  <c r="N143" i="1"/>
  <c r="C143" i="1"/>
  <c r="C145" i="1"/>
  <c r="O145" i="1" s="1"/>
  <c r="D138" i="1"/>
  <c r="E138" i="1"/>
  <c r="F138" i="1"/>
  <c r="G138" i="1"/>
  <c r="H138" i="1"/>
  <c r="I138" i="1"/>
  <c r="J138" i="1"/>
  <c r="K138" i="1"/>
  <c r="L138" i="1"/>
  <c r="M138" i="1"/>
  <c r="N138" i="1"/>
  <c r="C138" i="1"/>
  <c r="D136" i="1"/>
  <c r="E136" i="1"/>
  <c r="F136" i="1"/>
  <c r="G136" i="1"/>
  <c r="H136" i="1"/>
  <c r="I136" i="1"/>
  <c r="J136" i="1"/>
  <c r="K136" i="1"/>
  <c r="L136" i="1"/>
  <c r="M136" i="1"/>
  <c r="N136" i="1"/>
  <c r="C136" i="1"/>
  <c r="D134" i="1"/>
  <c r="E134" i="1"/>
  <c r="F134" i="1"/>
  <c r="G134" i="1"/>
  <c r="H134" i="1"/>
  <c r="I134" i="1"/>
  <c r="J134" i="1"/>
  <c r="K134" i="1"/>
  <c r="L134" i="1"/>
  <c r="M134" i="1"/>
  <c r="N134" i="1"/>
  <c r="C134" i="1"/>
  <c r="D112" i="1"/>
  <c r="E112" i="1"/>
  <c r="F112" i="1"/>
  <c r="G112" i="1"/>
  <c r="H112" i="1"/>
  <c r="I112" i="1"/>
  <c r="J112" i="1"/>
  <c r="K112" i="1"/>
  <c r="L112" i="1"/>
  <c r="M112" i="1"/>
  <c r="N112" i="1"/>
  <c r="C112" i="1"/>
  <c r="C90" i="1"/>
  <c r="D90" i="1" s="1"/>
  <c r="D129" i="1"/>
  <c r="D142" i="1" s="1"/>
  <c r="E129" i="1"/>
  <c r="E142" i="1" s="1"/>
  <c r="F129" i="1"/>
  <c r="F142" i="1" s="1"/>
  <c r="G129" i="1"/>
  <c r="G142" i="1" s="1"/>
  <c r="H129" i="1"/>
  <c r="H142" i="1" s="1"/>
  <c r="I129" i="1"/>
  <c r="J129" i="1"/>
  <c r="K129" i="1"/>
  <c r="L129" i="1"/>
  <c r="M129" i="1"/>
  <c r="N129" i="1"/>
  <c r="C129" i="1"/>
  <c r="C142" i="1" s="1"/>
  <c r="O141" i="1"/>
  <c r="O140" i="1"/>
  <c r="O137" i="1"/>
  <c r="O131" i="1"/>
  <c r="O130" i="1"/>
  <c r="C123" i="1"/>
  <c r="O123" i="1" s="1"/>
  <c r="J116" i="1"/>
  <c r="C92" i="1"/>
  <c r="D107" i="1"/>
  <c r="D120" i="1" s="1"/>
  <c r="E107" i="1"/>
  <c r="E120" i="1" s="1"/>
  <c r="F107" i="1"/>
  <c r="F120" i="1" s="1"/>
  <c r="G107" i="1"/>
  <c r="H107" i="1"/>
  <c r="H120" i="1" s="1"/>
  <c r="I107" i="1"/>
  <c r="I120" i="1" s="1"/>
  <c r="J107" i="1"/>
  <c r="J120" i="1" s="1"/>
  <c r="K107" i="1"/>
  <c r="K120" i="1" s="1"/>
  <c r="L107" i="1"/>
  <c r="L120" i="1" s="1"/>
  <c r="M107" i="1"/>
  <c r="M120" i="1" s="1"/>
  <c r="N107" i="1"/>
  <c r="N120" i="1" s="1"/>
  <c r="C107" i="1"/>
  <c r="C120" i="1" s="1"/>
  <c r="O121" i="1"/>
  <c r="O119" i="1"/>
  <c r="O118" i="1"/>
  <c r="O115" i="1"/>
  <c r="C114" i="1"/>
  <c r="K114" i="1" s="1"/>
  <c r="O109" i="1"/>
  <c r="O108" i="1"/>
  <c r="C101" i="1"/>
  <c r="O101" i="1" s="1"/>
  <c r="C25" i="1"/>
  <c r="C43" i="1"/>
  <c r="C61" i="1"/>
  <c r="O61" i="1" s="1"/>
  <c r="D99" i="1"/>
  <c r="E99" i="1"/>
  <c r="F99" i="1"/>
  <c r="G99" i="1"/>
  <c r="H99" i="1"/>
  <c r="I99" i="1"/>
  <c r="J99" i="1"/>
  <c r="K99" i="1"/>
  <c r="L99" i="1"/>
  <c r="M99" i="1"/>
  <c r="N99" i="1"/>
  <c r="C99" i="1"/>
  <c r="C94" i="1"/>
  <c r="J94" i="1" s="1"/>
  <c r="D86" i="1"/>
  <c r="E86" i="1"/>
  <c r="F86" i="1"/>
  <c r="G86" i="1"/>
  <c r="H86" i="1"/>
  <c r="I86" i="1"/>
  <c r="J86" i="1"/>
  <c r="K86" i="1"/>
  <c r="L86" i="1"/>
  <c r="M86" i="1"/>
  <c r="N86" i="1"/>
  <c r="C86" i="1"/>
  <c r="O87" i="1"/>
  <c r="O97" i="1"/>
  <c r="O96" i="1"/>
  <c r="O93" i="1"/>
  <c r="D85" i="1"/>
  <c r="E85" i="1"/>
  <c r="F85" i="1"/>
  <c r="G85" i="1"/>
  <c r="H85" i="1"/>
  <c r="I85" i="1"/>
  <c r="J85" i="1"/>
  <c r="K85" i="1"/>
  <c r="L85" i="1"/>
  <c r="M85" i="1"/>
  <c r="N85" i="1"/>
  <c r="C85" i="1"/>
  <c r="D30" i="1"/>
  <c r="E30" i="1"/>
  <c r="F30" i="1"/>
  <c r="G30" i="1"/>
  <c r="H30" i="1"/>
  <c r="I30" i="1"/>
  <c r="J30" i="1"/>
  <c r="K30" i="1"/>
  <c r="L30" i="1"/>
  <c r="M30" i="1"/>
  <c r="N30" i="1"/>
  <c r="C30" i="1"/>
  <c r="I3" i="1"/>
  <c r="O24" i="1"/>
  <c r="D68" i="1"/>
  <c r="E68" i="1"/>
  <c r="F68" i="1"/>
  <c r="G68" i="1"/>
  <c r="H68" i="1"/>
  <c r="I68" i="1"/>
  <c r="J68" i="1"/>
  <c r="K68" i="1"/>
  <c r="L68" i="1"/>
  <c r="M68" i="1"/>
  <c r="N68" i="1"/>
  <c r="C68" i="1"/>
  <c r="M49" i="1"/>
  <c r="N49" i="1"/>
  <c r="L49" i="1"/>
  <c r="M67" i="1"/>
  <c r="N67" i="1"/>
  <c r="L67" i="1"/>
  <c r="D66" i="1"/>
  <c r="E66" i="1"/>
  <c r="F66" i="1"/>
  <c r="G66" i="1"/>
  <c r="H66" i="1"/>
  <c r="I66" i="1"/>
  <c r="J66" i="1"/>
  <c r="K66" i="1"/>
  <c r="L66" i="1"/>
  <c r="M66" i="1"/>
  <c r="N66" i="1"/>
  <c r="C66" i="1"/>
  <c r="D50" i="1"/>
  <c r="E50" i="1"/>
  <c r="F50" i="1"/>
  <c r="G50" i="1"/>
  <c r="H50" i="1"/>
  <c r="I50" i="1"/>
  <c r="J50" i="1"/>
  <c r="K50" i="1"/>
  <c r="L50" i="1"/>
  <c r="M50" i="1"/>
  <c r="N50" i="1"/>
  <c r="C50" i="1"/>
  <c r="O33" i="1"/>
  <c r="O9" i="1"/>
  <c r="D32" i="1"/>
  <c r="E32" i="1"/>
  <c r="F32" i="1"/>
  <c r="G32" i="1"/>
  <c r="H32" i="1"/>
  <c r="I32" i="1"/>
  <c r="J32" i="1"/>
  <c r="K32" i="1"/>
  <c r="L32" i="1"/>
  <c r="M32" i="1"/>
  <c r="N32" i="1"/>
  <c r="C32" i="1"/>
  <c r="O65" i="1"/>
  <c r="O47" i="1"/>
  <c r="O48" i="1"/>
  <c r="O29" i="1"/>
  <c r="O31" i="1"/>
  <c r="C90" i="4" l="1"/>
  <c r="C104" i="4"/>
  <c r="D7" i="4"/>
  <c r="C7" i="4"/>
  <c r="C125" i="4" s="1"/>
  <c r="C126" i="4" s="1"/>
  <c r="I9" i="4" s="1"/>
  <c r="U51" i="2"/>
  <c r="G88" i="3"/>
  <c r="G130" i="3"/>
  <c r="G33" i="3"/>
  <c r="G39" i="3"/>
  <c r="F120" i="3"/>
  <c r="G110" i="3"/>
  <c r="G94" i="3"/>
  <c r="G126" i="3"/>
  <c r="F69" i="3"/>
  <c r="G95" i="3"/>
  <c r="E120" i="3"/>
  <c r="G37" i="3"/>
  <c r="G89" i="3"/>
  <c r="G85" i="3"/>
  <c r="G86" i="3"/>
  <c r="D120" i="3"/>
  <c r="C120" i="3"/>
  <c r="G120" i="3" s="1"/>
  <c r="G58" i="3"/>
  <c r="G90" i="3"/>
  <c r="G87" i="3"/>
  <c r="G91" i="3"/>
  <c r="G92" i="3"/>
  <c r="G93" i="3"/>
  <c r="G52" i="3"/>
  <c r="G28" i="3"/>
  <c r="D133" i="3"/>
  <c r="E133" i="3"/>
  <c r="G106" i="3"/>
  <c r="G103" i="3"/>
  <c r="G122" i="3"/>
  <c r="G107" i="3"/>
  <c r="D83" i="3"/>
  <c r="C45" i="3"/>
  <c r="G47" i="3"/>
  <c r="G70" i="3"/>
  <c r="D45" i="3"/>
  <c r="F30" i="3"/>
  <c r="O8" i="3"/>
  <c r="D30" i="3"/>
  <c r="D59" i="3" s="1"/>
  <c r="F45" i="3"/>
  <c r="E45" i="3"/>
  <c r="G32" i="3"/>
  <c r="G38" i="3"/>
  <c r="G43" i="3"/>
  <c r="G46" i="3"/>
  <c r="C66" i="3"/>
  <c r="G66" i="3" s="1"/>
  <c r="E83" i="3"/>
  <c r="G53" i="3"/>
  <c r="G50" i="3"/>
  <c r="G79" i="3"/>
  <c r="G41" i="3"/>
  <c r="F83" i="3"/>
  <c r="G57" i="3"/>
  <c r="C30" i="3"/>
  <c r="G80" i="3"/>
  <c r="G42" i="3"/>
  <c r="D69" i="3"/>
  <c r="D96" i="3" s="1"/>
  <c r="G34" i="3"/>
  <c r="C83" i="3"/>
  <c r="E69" i="3"/>
  <c r="E96" i="3" s="1"/>
  <c r="F96" i="3"/>
  <c r="G49" i="3"/>
  <c r="G75" i="3"/>
  <c r="E30" i="3"/>
  <c r="E59" i="3" s="1"/>
  <c r="G54" i="3"/>
  <c r="G48" i="3"/>
  <c r="G76" i="3"/>
  <c r="G73" i="3"/>
  <c r="C69" i="3"/>
  <c r="O10" i="3"/>
  <c r="C7" i="3"/>
  <c r="G27" i="3"/>
  <c r="AC21" i="2"/>
  <c r="AC40" i="2"/>
  <c r="U69" i="2"/>
  <c r="F68" i="2"/>
  <c r="N60" i="2"/>
  <c r="AC58" i="2"/>
  <c r="T64" i="2"/>
  <c r="U64" i="2" s="1"/>
  <c r="T46" i="2"/>
  <c r="U46" i="2" s="1"/>
  <c r="N42" i="2"/>
  <c r="N68" i="2"/>
  <c r="U68" i="2"/>
  <c r="F50" i="2"/>
  <c r="N50" i="2"/>
  <c r="U50" i="2"/>
  <c r="N32" i="2"/>
  <c r="AI121" i="1"/>
  <c r="AE114" i="1"/>
  <c r="AI141" i="1"/>
  <c r="T119" i="1"/>
  <c r="S141" i="1"/>
  <c r="AB113" i="1"/>
  <c r="AC113" i="1" s="1"/>
  <c r="AD113" i="1" s="1"/>
  <c r="AA119" i="1"/>
  <c r="AE115" i="1"/>
  <c r="AA141" i="1"/>
  <c r="AD130" i="1"/>
  <c r="AE130" i="1" s="1"/>
  <c r="AC133" i="1"/>
  <c r="AD133" i="1" s="1"/>
  <c r="AC137" i="1"/>
  <c r="AD137" i="1" s="1"/>
  <c r="AC140" i="1"/>
  <c r="AD140" i="1" s="1"/>
  <c r="AE129" i="1"/>
  <c r="AB131" i="1"/>
  <c r="AC131" i="1" s="1"/>
  <c r="AD131" i="1" s="1"/>
  <c r="AE142" i="1"/>
  <c r="AB135" i="1"/>
  <c r="AC135" i="1" s="1"/>
  <c r="AD135" i="1" s="1"/>
  <c r="AE139" i="1"/>
  <c r="AB136" i="1"/>
  <c r="AC136" i="1" s="1"/>
  <c r="AD136" i="1" s="1"/>
  <c r="W137" i="1"/>
  <c r="W136" i="1"/>
  <c r="W135" i="1"/>
  <c r="T141" i="1"/>
  <c r="U130" i="1"/>
  <c r="W133" i="1"/>
  <c r="T142" i="1"/>
  <c r="U142" i="1" s="1"/>
  <c r="V142" i="1" s="1"/>
  <c r="T139" i="1"/>
  <c r="U139" i="1" s="1"/>
  <c r="V139" i="1" s="1"/>
  <c r="W129" i="1"/>
  <c r="W131" i="1"/>
  <c r="T140" i="1"/>
  <c r="U140" i="1" s="1"/>
  <c r="V140" i="1" s="1"/>
  <c r="AE109" i="1"/>
  <c r="AC118" i="1"/>
  <c r="AD118" i="1" s="1"/>
  <c r="AB120" i="1"/>
  <c r="AC120" i="1" s="1"/>
  <c r="AD120" i="1" s="1"/>
  <c r="AE117" i="1"/>
  <c r="AE107" i="1"/>
  <c r="AB111" i="1"/>
  <c r="AC111" i="1" s="1"/>
  <c r="AD111" i="1" s="1"/>
  <c r="AB108" i="1"/>
  <c r="W107" i="1"/>
  <c r="W109" i="1"/>
  <c r="W113" i="1"/>
  <c r="AE85" i="1"/>
  <c r="F110" i="1"/>
  <c r="G110" i="1" s="1"/>
  <c r="H110" i="1" s="1"/>
  <c r="I110" i="1" s="1"/>
  <c r="J110" i="1" s="1"/>
  <c r="K110" i="1" s="1"/>
  <c r="L110" i="1" s="1"/>
  <c r="M110" i="1" s="1"/>
  <c r="S110" i="1"/>
  <c r="W114" i="1"/>
  <c r="W115" i="1"/>
  <c r="W111" i="1"/>
  <c r="T120" i="1"/>
  <c r="U120" i="1" s="1"/>
  <c r="V120" i="1" s="1"/>
  <c r="T117" i="1"/>
  <c r="U117" i="1" s="1"/>
  <c r="V117" i="1" s="1"/>
  <c r="AE87" i="1"/>
  <c r="V98" i="1"/>
  <c r="W98" i="1" s="1"/>
  <c r="AD98" i="1"/>
  <c r="AE98" i="1" s="1"/>
  <c r="C98" i="1"/>
  <c r="AE91" i="1"/>
  <c r="D55" i="1"/>
  <c r="AE86" i="1"/>
  <c r="C55" i="1"/>
  <c r="W96" i="1"/>
  <c r="H55" i="1"/>
  <c r="F55" i="1"/>
  <c r="G55" i="1"/>
  <c r="E55" i="1"/>
  <c r="H70" i="1"/>
  <c r="I70" i="1" s="1"/>
  <c r="J70" i="1" s="1"/>
  <c r="K70" i="1" s="1"/>
  <c r="L70" i="1" s="1"/>
  <c r="M70" i="1" s="1"/>
  <c r="N70" i="1" s="1"/>
  <c r="AA97" i="1"/>
  <c r="D37" i="1"/>
  <c r="I52" i="1"/>
  <c r="J52" i="1" s="1"/>
  <c r="K52" i="1" s="1"/>
  <c r="L52" i="1" s="1"/>
  <c r="M52" i="1" s="1"/>
  <c r="N52" i="1" s="1"/>
  <c r="N55" i="1" s="1"/>
  <c r="C37" i="1"/>
  <c r="W95" i="1"/>
  <c r="F34" i="1"/>
  <c r="G34" i="1" s="1"/>
  <c r="G37" i="1" s="1"/>
  <c r="E37" i="1"/>
  <c r="AE93" i="1"/>
  <c r="AE89" i="1"/>
  <c r="W85" i="1"/>
  <c r="W91" i="1"/>
  <c r="W92" i="1"/>
  <c r="AE92" i="1"/>
  <c r="AE95" i="1"/>
  <c r="W87" i="1"/>
  <c r="W93" i="1"/>
  <c r="E88" i="1"/>
  <c r="F88" i="1" s="1"/>
  <c r="G88" i="1" s="1"/>
  <c r="H88" i="1" s="1"/>
  <c r="I88" i="1" s="1"/>
  <c r="J88" i="1" s="1"/>
  <c r="K88" i="1" s="1"/>
  <c r="L88" i="1" s="1"/>
  <c r="M88" i="1" s="1"/>
  <c r="AE96" i="1"/>
  <c r="W89" i="1"/>
  <c r="S97" i="1"/>
  <c r="S101" i="1" s="1"/>
  <c r="V97" i="1"/>
  <c r="W86" i="1"/>
  <c r="U97" i="1"/>
  <c r="T97" i="1"/>
  <c r="AI101" i="1"/>
  <c r="D98" i="1"/>
  <c r="G98" i="1"/>
  <c r="M98" i="1"/>
  <c r="J98" i="1"/>
  <c r="O143" i="1"/>
  <c r="O138" i="1"/>
  <c r="L98" i="1"/>
  <c r="G116" i="1"/>
  <c r="H98" i="1"/>
  <c r="F116" i="1"/>
  <c r="O134" i="1"/>
  <c r="I116" i="1"/>
  <c r="D116" i="1"/>
  <c r="J114" i="1"/>
  <c r="I114" i="1"/>
  <c r="H114" i="1"/>
  <c r="G114" i="1"/>
  <c r="H116" i="1"/>
  <c r="F114" i="1"/>
  <c r="E116" i="1"/>
  <c r="E114" i="1"/>
  <c r="K98" i="1"/>
  <c r="H90" i="1"/>
  <c r="M90" i="1"/>
  <c r="K90" i="1"/>
  <c r="J90" i="1"/>
  <c r="F90" i="1"/>
  <c r="I90" i="1"/>
  <c r="E90" i="1"/>
  <c r="N90" i="1"/>
  <c r="O136" i="1"/>
  <c r="D114" i="1"/>
  <c r="N116" i="1"/>
  <c r="O112" i="1"/>
  <c r="N114" i="1"/>
  <c r="M116" i="1"/>
  <c r="L90" i="1"/>
  <c r="M114" i="1"/>
  <c r="L116" i="1"/>
  <c r="L114" i="1"/>
  <c r="K116" i="1"/>
  <c r="K124" i="1" s="1"/>
  <c r="G90" i="1"/>
  <c r="I142" i="1"/>
  <c r="O129" i="1"/>
  <c r="J142" i="1"/>
  <c r="K142" i="1"/>
  <c r="L142" i="1"/>
  <c r="M142" i="1"/>
  <c r="N142" i="1"/>
  <c r="O107" i="1"/>
  <c r="G120" i="1"/>
  <c r="F98" i="1"/>
  <c r="N98" i="1"/>
  <c r="M94" i="1"/>
  <c r="G94" i="1"/>
  <c r="I94" i="1"/>
  <c r="F94" i="1"/>
  <c r="E94" i="1"/>
  <c r="I98" i="1"/>
  <c r="H94" i="1"/>
  <c r="E98" i="1"/>
  <c r="N94" i="1"/>
  <c r="D94" i="1"/>
  <c r="O85" i="1"/>
  <c r="O99" i="1"/>
  <c r="L94" i="1"/>
  <c r="O86" i="1"/>
  <c r="K94" i="1"/>
  <c r="O49" i="1"/>
  <c r="O67" i="1"/>
  <c r="G73" i="1"/>
  <c r="O30" i="1"/>
  <c r="F73" i="1"/>
  <c r="E73" i="1"/>
  <c r="D73" i="1"/>
  <c r="O66" i="1"/>
  <c r="N4" i="3"/>
  <c r="D4" i="3"/>
  <c r="E4" i="3"/>
  <c r="F4" i="3"/>
  <c r="G4" i="3"/>
  <c r="H4" i="3"/>
  <c r="J4" i="3"/>
  <c r="K4" i="3"/>
  <c r="L4" i="3"/>
  <c r="M4" i="3"/>
  <c r="O72" i="1"/>
  <c r="O68" i="1"/>
  <c r="O63" i="1"/>
  <c r="O62" i="1"/>
  <c r="O54" i="1"/>
  <c r="O50" i="1"/>
  <c r="O45" i="1"/>
  <c r="O44" i="1"/>
  <c r="O43" i="1"/>
  <c r="O42" i="1"/>
  <c r="O36" i="1"/>
  <c r="O32" i="1"/>
  <c r="O27" i="1"/>
  <c r="O26" i="1"/>
  <c r="O25" i="1"/>
  <c r="O16" i="1"/>
  <c r="O15" i="1"/>
  <c r="O10" i="1"/>
  <c r="O4" i="1"/>
  <c r="O6" i="3" s="1"/>
  <c r="O3" i="1"/>
  <c r="O5" i="3" s="1"/>
  <c r="N17" i="1"/>
  <c r="M17" i="1"/>
  <c r="L17" i="1"/>
  <c r="K17" i="1"/>
  <c r="J17" i="1"/>
  <c r="I17" i="1"/>
  <c r="H17" i="1"/>
  <c r="G17" i="1"/>
  <c r="F17" i="1"/>
  <c r="E17" i="1"/>
  <c r="D17" i="1"/>
  <c r="C17" i="1"/>
  <c r="N11" i="1"/>
  <c r="M11" i="1"/>
  <c r="L11" i="1"/>
  <c r="K11" i="1"/>
  <c r="J11" i="1"/>
  <c r="I11" i="1"/>
  <c r="H11" i="1"/>
  <c r="G11" i="1"/>
  <c r="F11" i="1"/>
  <c r="E11" i="1"/>
  <c r="D11" i="1"/>
  <c r="C11" i="1"/>
  <c r="F5" i="1"/>
  <c r="G5" i="1"/>
  <c r="H5" i="1"/>
  <c r="I5" i="1"/>
  <c r="J5" i="1"/>
  <c r="K5" i="1"/>
  <c r="L5" i="1"/>
  <c r="M5" i="1"/>
  <c r="N5" i="1"/>
  <c r="C60" i="1"/>
  <c r="C73" i="1" s="1"/>
  <c r="N23" i="2"/>
  <c r="N22" i="2"/>
  <c r="F29" i="2"/>
  <c r="F28" i="2"/>
  <c r="T33" i="2"/>
  <c r="S33" i="2"/>
  <c r="R33" i="2"/>
  <c r="Q33" i="2"/>
  <c r="U32" i="2"/>
  <c r="U31" i="2"/>
  <c r="U27" i="2"/>
  <c r="U26" i="2"/>
  <c r="R28" i="2"/>
  <c r="S28" i="2"/>
  <c r="T28" i="2"/>
  <c r="Q28" i="2"/>
  <c r="E9" i="2"/>
  <c r="E10" i="2"/>
  <c r="E11" i="2"/>
  <c r="E12" i="2"/>
  <c r="E13" i="2"/>
  <c r="E14" i="2"/>
  <c r="E15" i="2"/>
  <c r="E8" i="2"/>
  <c r="D8" i="2"/>
  <c r="D9" i="2"/>
  <c r="D10" i="2"/>
  <c r="D11" i="2"/>
  <c r="D12" i="2"/>
  <c r="D13" i="2"/>
  <c r="D15" i="2"/>
  <c r="D7" i="2"/>
  <c r="C15" i="2"/>
  <c r="C7" i="2"/>
  <c r="C8" i="2"/>
  <c r="C9" i="2"/>
  <c r="C10" i="2"/>
  <c r="C11" i="2"/>
  <c r="C12" i="2"/>
  <c r="C13" i="2"/>
  <c r="C14" i="2"/>
  <c r="C6" i="2"/>
  <c r="E5" i="1"/>
  <c r="D5" i="1"/>
  <c r="C5" i="1"/>
  <c r="C93" i="4" l="1"/>
  <c r="C132" i="4"/>
  <c r="C105" i="4"/>
  <c r="C109" i="4" s="1"/>
  <c r="I5" i="4" s="1"/>
  <c r="D90" i="4"/>
  <c r="D93" i="4" s="1"/>
  <c r="E105" i="4" s="1"/>
  <c r="F90" i="4"/>
  <c r="B138" i="4" s="1"/>
  <c r="E90" i="4"/>
  <c r="C106" i="4"/>
  <c r="C107" i="4" s="1"/>
  <c r="G30" i="3"/>
  <c r="C133" i="3"/>
  <c r="C134" i="3" s="1"/>
  <c r="D134" i="3" s="1"/>
  <c r="E134" i="3" s="1"/>
  <c r="F134" i="3" s="1"/>
  <c r="G105" i="3"/>
  <c r="G133" i="3" s="1"/>
  <c r="G69" i="3"/>
  <c r="G83" i="3"/>
  <c r="C20" i="3"/>
  <c r="C21" i="3" s="1"/>
  <c r="O7" i="3"/>
  <c r="G29" i="3"/>
  <c r="G59" i="3" s="1"/>
  <c r="F32" i="2"/>
  <c r="N24" i="2"/>
  <c r="U33" i="2"/>
  <c r="AE133" i="1"/>
  <c r="AE113" i="1"/>
  <c r="N73" i="1"/>
  <c r="C132" i="1"/>
  <c r="AE111" i="1"/>
  <c r="N110" i="1"/>
  <c r="O110" i="1" s="1"/>
  <c r="AA110" i="1"/>
  <c r="AE135" i="1"/>
  <c r="AB141" i="1"/>
  <c r="AE131" i="1"/>
  <c r="AD141" i="1"/>
  <c r="AE140" i="1"/>
  <c r="AE137" i="1"/>
  <c r="AE136" i="1"/>
  <c r="AC141" i="1"/>
  <c r="W140" i="1"/>
  <c r="W139" i="1"/>
  <c r="V130" i="1"/>
  <c r="U141" i="1"/>
  <c r="W142" i="1"/>
  <c r="AE120" i="1"/>
  <c r="AE118" i="1"/>
  <c r="AC108" i="1"/>
  <c r="AB119" i="1"/>
  <c r="J124" i="1"/>
  <c r="S123" i="1"/>
  <c r="T110" i="1"/>
  <c r="W120" i="1"/>
  <c r="W117" i="1"/>
  <c r="M73" i="1"/>
  <c r="K73" i="1"/>
  <c r="J73" i="1"/>
  <c r="L73" i="1"/>
  <c r="H34" i="1"/>
  <c r="I34" i="1" s="1"/>
  <c r="J34" i="1" s="1"/>
  <c r="K34" i="1" s="1"/>
  <c r="L34" i="1" s="1"/>
  <c r="M34" i="1" s="1"/>
  <c r="N34" i="1" s="1"/>
  <c r="N37" i="1" s="1"/>
  <c r="F37" i="1"/>
  <c r="AA88" i="1"/>
  <c r="AB88" i="1" s="1"/>
  <c r="AC88" i="1" s="1"/>
  <c r="AD88" i="1" s="1"/>
  <c r="I73" i="1"/>
  <c r="H73" i="1"/>
  <c r="O70" i="1"/>
  <c r="K55" i="1"/>
  <c r="J55" i="1"/>
  <c r="L55" i="1"/>
  <c r="I55" i="1"/>
  <c r="M55" i="1"/>
  <c r="O52" i="1"/>
  <c r="U101" i="1"/>
  <c r="V101" i="1"/>
  <c r="N88" i="1"/>
  <c r="O88" i="1" s="1"/>
  <c r="W97" i="1"/>
  <c r="T101" i="1"/>
  <c r="AB97" i="1"/>
  <c r="L124" i="1"/>
  <c r="N124" i="1"/>
  <c r="F124" i="1"/>
  <c r="D124" i="1"/>
  <c r="I124" i="1"/>
  <c r="E124" i="1"/>
  <c r="H124" i="1"/>
  <c r="O98" i="1"/>
  <c r="O116" i="1"/>
  <c r="M124" i="1"/>
  <c r="O90" i="1"/>
  <c r="O142" i="1"/>
  <c r="G124" i="1"/>
  <c r="O114" i="1"/>
  <c r="O120" i="1"/>
  <c r="C124" i="1"/>
  <c r="O94" i="1"/>
  <c r="O11" i="1"/>
  <c r="O60" i="1"/>
  <c r="O17" i="1"/>
  <c r="U28" i="2"/>
  <c r="O5" i="1"/>
  <c r="H20" i="3"/>
  <c r="G20" i="3"/>
  <c r="M20" i="3"/>
  <c r="E20" i="3"/>
  <c r="D20" i="3"/>
  <c r="D21" i="3" s="1"/>
  <c r="F20" i="3"/>
  <c r="L20" i="3"/>
  <c r="J20" i="3"/>
  <c r="K20" i="3"/>
  <c r="I20" i="3"/>
  <c r="N20" i="3"/>
  <c r="E104" i="4" l="1"/>
  <c r="F104" i="4" s="1"/>
  <c r="F105" i="4" s="1"/>
  <c r="D132" i="4"/>
  <c r="F93" i="4"/>
  <c r="E107" i="4" s="1"/>
  <c r="F132" i="4"/>
  <c r="I11" i="4"/>
  <c r="E93" i="4"/>
  <c r="E132" i="4"/>
  <c r="C59" i="3"/>
  <c r="C60" i="3" s="1"/>
  <c r="D60" i="3" s="1"/>
  <c r="E60" i="3" s="1"/>
  <c r="F60" i="3" s="1"/>
  <c r="G96" i="3"/>
  <c r="C96" i="3"/>
  <c r="C97" i="3" s="1"/>
  <c r="D97" i="3" s="1"/>
  <c r="E97" i="3" s="1"/>
  <c r="F97" i="3" s="1"/>
  <c r="AB110" i="1"/>
  <c r="AC110" i="1" s="1"/>
  <c r="AD110" i="1" s="1"/>
  <c r="AA123" i="1"/>
  <c r="D132" i="1"/>
  <c r="C146" i="1"/>
  <c r="AE141" i="1"/>
  <c r="V141" i="1"/>
  <c r="W141" i="1" s="1"/>
  <c r="W130" i="1"/>
  <c r="AD108" i="1"/>
  <c r="AC119" i="1"/>
  <c r="AC123" i="1" s="1"/>
  <c r="AE108" i="1"/>
  <c r="U110" i="1"/>
  <c r="T123" i="1"/>
  <c r="W108" i="1"/>
  <c r="W119" i="1"/>
  <c r="M37" i="1"/>
  <c r="O73" i="1"/>
  <c r="O34" i="1"/>
  <c r="L37" i="1"/>
  <c r="I37" i="1"/>
  <c r="K37" i="1"/>
  <c r="J37" i="1"/>
  <c r="H37" i="1"/>
  <c r="O55" i="1"/>
  <c r="W88" i="1"/>
  <c r="W101" i="1"/>
  <c r="AA101" i="1"/>
  <c r="AE88" i="1"/>
  <c r="AC97" i="1"/>
  <c r="O124" i="1"/>
  <c r="O4" i="3"/>
  <c r="O20" i="3" s="1"/>
  <c r="C94" i="4" l="1"/>
  <c r="I7" i="4" s="1"/>
  <c r="B131" i="4"/>
  <c r="B117" i="4"/>
  <c r="C117" i="4" s="1"/>
  <c r="I8" i="4" s="1"/>
  <c r="E106" i="4"/>
  <c r="F106" i="4" s="1"/>
  <c r="E109" i="4" s="1"/>
  <c r="I6" i="4" s="1"/>
  <c r="G45" i="3"/>
  <c r="O37" i="1"/>
  <c r="E132" i="1"/>
  <c r="S132" i="1"/>
  <c r="D146" i="1"/>
  <c r="AE110" i="1"/>
  <c r="AB123" i="1"/>
  <c r="AD119" i="1"/>
  <c r="AD123" i="1" s="1"/>
  <c r="V110" i="1"/>
  <c r="V123" i="1" s="1"/>
  <c r="U123" i="1"/>
  <c r="AB101" i="1"/>
  <c r="AD97" i="1"/>
  <c r="AE97" i="1" s="1"/>
  <c r="AC101" i="1"/>
  <c r="F107" i="4" l="1"/>
  <c r="AE123" i="1"/>
  <c r="W110" i="1"/>
  <c r="S145" i="1"/>
  <c r="T132" i="1"/>
  <c r="F132" i="1"/>
  <c r="E146" i="1"/>
  <c r="AE119" i="1"/>
  <c r="W123" i="1"/>
  <c r="E21" i="3"/>
  <c r="F21" i="3" s="1"/>
  <c r="G21" i="3" s="1"/>
  <c r="H21" i="3" s="1"/>
  <c r="I21" i="3" s="1"/>
  <c r="J21" i="3" s="1"/>
  <c r="K21" i="3" s="1"/>
  <c r="L21" i="3" s="1"/>
  <c r="M21" i="3" s="1"/>
  <c r="N21" i="3" s="1"/>
  <c r="AD101" i="1"/>
  <c r="AE101" i="1" s="1"/>
  <c r="F146" i="1" l="1"/>
  <c r="G132" i="1"/>
  <c r="U132" i="1"/>
  <c r="T145" i="1"/>
  <c r="C102" i="1"/>
  <c r="D92" i="1"/>
  <c r="D102" i="1" s="1"/>
  <c r="F92" i="1"/>
  <c r="K92" i="1"/>
  <c r="N92" i="1"/>
  <c r="N102" i="1" s="1"/>
  <c r="E92" i="1"/>
  <c r="M92" i="1"/>
  <c r="H92" i="1"/>
  <c r="I92" i="1"/>
  <c r="I102" i="1" s="1"/>
  <c r="L92" i="1"/>
  <c r="L102" i="1" s="1"/>
  <c r="G92" i="1"/>
  <c r="G102" i="1" s="1"/>
  <c r="J92" i="1"/>
  <c r="V132" i="1" l="1"/>
  <c r="V145" i="1" s="1"/>
  <c r="U145" i="1"/>
  <c r="W132" i="1"/>
  <c r="G146" i="1"/>
  <c r="H132" i="1"/>
  <c r="K102" i="1"/>
  <c r="J102" i="1"/>
  <c r="M102" i="1"/>
  <c r="F102" i="1"/>
  <c r="O92" i="1"/>
  <c r="H102" i="1"/>
  <c r="E102" i="1"/>
  <c r="I132" i="1" l="1"/>
  <c r="H146" i="1"/>
  <c r="W145" i="1"/>
  <c r="O102" i="1"/>
  <c r="J132" i="1" l="1"/>
  <c r="I146" i="1"/>
  <c r="J146" i="1" l="1"/>
  <c r="K132" i="1"/>
  <c r="L132" i="1" l="1"/>
  <c r="K146" i="1"/>
  <c r="AA132" i="1" l="1"/>
  <c r="L146" i="1"/>
  <c r="M132" i="1"/>
  <c r="N132" i="1" l="1"/>
  <c r="M146" i="1"/>
  <c r="AB132" i="1"/>
  <c r="AA145" i="1"/>
  <c r="AC132" i="1" l="1"/>
  <c r="AB145" i="1"/>
  <c r="N146" i="1"/>
  <c r="O146" i="1" s="1"/>
  <c r="O132" i="1"/>
  <c r="AD132" i="1" l="1"/>
  <c r="AC145" i="1"/>
  <c r="AE132" i="1" l="1"/>
  <c r="AD145" i="1"/>
  <c r="AE145" i="1" s="1"/>
  <c r="Q22" i="2" l="1"/>
  <c r="AC22" i="2" s="1"/>
  <c r="AC20" i="2"/>
</calcChain>
</file>

<file path=xl/sharedStrings.xml><?xml version="1.0" encoding="utf-8"?>
<sst xmlns="http://schemas.openxmlformats.org/spreadsheetml/2006/main" count="1283" uniqueCount="374">
  <si>
    <t>№</t>
  </si>
  <si>
    <t>Источники финансирования</t>
  </si>
  <si>
    <t>Средства из фонда поддержки/гранты</t>
  </si>
  <si>
    <t>Частный инвестор</t>
  </si>
  <si>
    <t>пессимистичный</t>
  </si>
  <si>
    <t>реалистичный</t>
  </si>
  <si>
    <t>оптимистичный</t>
  </si>
  <si>
    <t>Итого</t>
  </si>
  <si>
    <t>Источники средств на начало реализации проекта</t>
  </si>
  <si>
    <t>Открытие ООО</t>
  </si>
  <si>
    <t>Разработка учредительных документов</t>
  </si>
  <si>
    <t>Юридические и организационные расходы</t>
  </si>
  <si>
    <t>Разработка продукта (основные расходы для IT-стартапа)</t>
  </si>
  <si>
    <t>Заработная плата разработчиков</t>
  </si>
  <si>
    <t>Оплата интернет и связи</t>
  </si>
  <si>
    <t>Расходы</t>
  </si>
  <si>
    <t>Мониторинг и обслуживание баз данных</t>
  </si>
  <si>
    <t>Разработка и поддержка продукта</t>
  </si>
  <si>
    <t>Маркетинг и продвижение</t>
  </si>
  <si>
    <t>Оплата участия в конференциях и выставках</t>
  </si>
  <si>
    <t>Операционные расходы</t>
  </si>
  <si>
    <t>Налоги и страховые взносы</t>
  </si>
  <si>
    <t>Финансовые расходы</t>
  </si>
  <si>
    <t>Итог, руб./мес.</t>
  </si>
  <si>
    <t>Итого за год, руб.</t>
  </si>
  <si>
    <t>Месяц</t>
  </si>
  <si>
    <t>По 2 месяца</t>
  </si>
  <si>
    <t>По 3 месяца</t>
  </si>
  <si>
    <t>По 4 месяцам</t>
  </si>
  <si>
    <t>Товар (услуга)</t>
  </si>
  <si>
    <t>Итого за год</t>
  </si>
  <si>
    <t>1 кв.</t>
  </si>
  <si>
    <t>2 кв.</t>
  </si>
  <si>
    <t>3 кв.</t>
  </si>
  <si>
    <t>4 кв.</t>
  </si>
  <si>
    <t>Оптимистический</t>
  </si>
  <si>
    <t>Реалистичный</t>
  </si>
  <si>
    <t>Показатель</t>
  </si>
  <si>
    <t>Объём реализации (прогноз продаж), ед.</t>
  </si>
  <si>
    <t>Ценаза единицу,руб.</t>
  </si>
  <si>
    <t>Поступление от реализации (выручка), тыс. руб.</t>
  </si>
  <si>
    <t>Поступления</t>
  </si>
  <si>
    <t>Платежи</t>
  </si>
  <si>
    <t>Услуги бухгалтера и юриста на первоначальном этапе</t>
  </si>
  <si>
    <t>Поступления от реализации</t>
  </si>
  <si>
    <t xml:space="preserve"> </t>
  </si>
  <si>
    <t>Постоянные затраты, 2 год</t>
  </si>
  <si>
    <t>Постоянные затраты, 3 год</t>
  </si>
  <si>
    <t>Первоначальные затраты (на оганизацию бизнеса), 1 год</t>
  </si>
  <si>
    <t>Итог, руб./кв.</t>
  </si>
  <si>
    <t>Переменные затраты, 2 год</t>
  </si>
  <si>
    <t>Переменные затраты, 3 год</t>
  </si>
  <si>
    <t xml:space="preserve">ПЕРЕМЕННЫЕ ЗАТРАТЫ </t>
  </si>
  <si>
    <t xml:space="preserve">ПОСТОЯННЫЕ ЗАТРАТЫ </t>
  </si>
  <si>
    <t xml:space="preserve">ПЕРВОНАЧАЛЬНЫЕ ЗАТРАТЫ </t>
  </si>
  <si>
    <t>Первоначальные затраты</t>
  </si>
  <si>
    <t>Финансовый план - 1 год реализации проекта, тыс. руб.</t>
  </si>
  <si>
    <t>2.1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</si>
  <si>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</si>
  <si>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</si>
  <si>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</si>
  <si>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</si>
  <si>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</si>
  <si>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</si>
  <si>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</si>
  <si>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</si>
  <si>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</si>
  <si>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</si>
  <si>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</si>
  <si>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2.2</t>
  </si>
  <si>
    <t>Постоянные затраты</t>
  </si>
  <si>
    <t>Переменные затраты</t>
  </si>
  <si>
    <t>1.1</t>
  </si>
  <si>
    <t>1.2</t>
  </si>
  <si>
    <t>3</t>
  </si>
  <si>
    <t>4</t>
  </si>
  <si>
    <t>Поступления - платежи с нарастающим итогом</t>
  </si>
  <si>
    <t>Заработная плата дизайнера</t>
  </si>
  <si>
    <t>Заработная плата руководителя проекта</t>
  </si>
  <si>
    <t>Заработная плата экономистов</t>
  </si>
  <si>
    <t>Поддержка и SLA</t>
  </si>
  <si>
    <t>Рекламные расходы с оплатой за клик/лид</t>
  </si>
  <si>
    <t>Промо-материалы / печать / логистика</t>
  </si>
  <si>
    <t>Бонусы продавцам / агентские комиссии</t>
  </si>
  <si>
    <t>Постоянные затраты, 4 год</t>
  </si>
  <si>
    <t>Переменные затраты, 4 год</t>
  </si>
  <si>
    <t>Заработная плата бизнес-аналитика</t>
  </si>
  <si>
    <t>Покупка оборудования</t>
  </si>
  <si>
    <t>1 месяц, руб.</t>
  </si>
  <si>
    <t>2 месяц, руб.</t>
  </si>
  <si>
    <t>3 месяц, руб.</t>
  </si>
  <si>
    <t>4 месяц, руб.</t>
  </si>
  <si>
    <t>5 месяц, руб.</t>
  </si>
  <si>
    <t>6 месяц, руб.</t>
  </si>
  <si>
    <t>7 месяц, руб.</t>
  </si>
  <si>
    <t>8 месяц, руб.</t>
  </si>
  <si>
    <t>9 месяц, руб.</t>
  </si>
  <si>
    <t>10 месяц, руб.</t>
  </si>
  <si>
    <t>11 месяц, руб.</t>
  </si>
  <si>
    <t>12 месяц, руб.</t>
  </si>
  <si>
    <t>Встречи с компаниями и демонстрации прототипа</t>
  </si>
  <si>
    <t>Амортизация и техподдержка оборудования</t>
  </si>
  <si>
    <t>Публикации статьей, PR и реклама</t>
  </si>
  <si>
    <t>Услуги бухгалтера и юриста</t>
  </si>
  <si>
    <t>Открытие банковского счёта и его обслуживание</t>
  </si>
  <si>
    <t>Обслуживание банковского счета</t>
  </si>
  <si>
    <t>Хостинг сайта / домен / техподдержка корпоративной почты</t>
  </si>
  <si>
    <t>Разработка и внедрение продукта</t>
  </si>
  <si>
    <t>Прочие переменные расходы</t>
  </si>
  <si>
    <t>Комиссии платёжных систем / партнёров</t>
  </si>
  <si>
    <t>Установка / внедрение ПО у заказчиков</t>
  </si>
  <si>
    <t>Техническая поддержка клиентов (оплата по обращениям)</t>
  </si>
  <si>
    <t>Сертификация ФСТЭК</t>
  </si>
  <si>
    <t>Оплата API сторонних сервисов</t>
  </si>
  <si>
    <t>Аренда тестового оборудования или стенда</t>
  </si>
  <si>
    <t>Почтовые и курьерские расходы</t>
  </si>
  <si>
    <t xml:space="preserve">постоянные расходы = </t>
  </si>
  <si>
    <t>Переменные (40%) =</t>
  </si>
  <si>
    <r>
      <t>import</t>
    </r>
    <r>
      <rPr>
        <sz val="8"/>
        <color rgb="FFD4D4D4"/>
        <rFont val="Courier New"/>
        <family val="3"/>
        <charset val="204"/>
      </rPr>
      <t xml:space="preserve"> numpy </t>
    </r>
    <r>
      <rPr>
        <sz val="8"/>
        <color rgb="FFC99CC6"/>
        <rFont val="Courier New"/>
        <family val="3"/>
        <charset val="204"/>
      </rPr>
      <t>as</t>
    </r>
    <r>
      <rPr>
        <sz val="8"/>
        <color rgb="FFD4D4D4"/>
        <rFont val="Courier New"/>
        <family val="3"/>
        <charset val="204"/>
      </rPr>
      <t xml:space="preserve"> np</t>
    </r>
  </si>
  <si>
    <r>
      <t>import</t>
    </r>
    <r>
      <rPr>
        <sz val="8"/>
        <color rgb="FFD4D4D4"/>
        <rFont val="Courier New"/>
        <family val="3"/>
        <charset val="204"/>
      </rPr>
      <t xml:space="preserve"> matplotlib.pyplot </t>
    </r>
    <r>
      <rPr>
        <sz val="8"/>
        <color rgb="FFC99CC6"/>
        <rFont val="Courier New"/>
        <family val="3"/>
        <charset val="204"/>
      </rPr>
      <t>as</t>
    </r>
    <r>
      <rPr>
        <sz val="8"/>
        <color rgb="FFD4D4D4"/>
        <rFont val="Courier New"/>
        <family val="3"/>
        <charset val="204"/>
      </rPr>
      <t xml:space="preserve"> plt</t>
    </r>
  </si>
  <si>
    <r>
      <t>q = np.linspace</t>
    </r>
    <r>
      <rPr>
        <sz val="8"/>
        <color rgb="FFDCDCDC"/>
        <rFont val="Courier New"/>
        <family val="3"/>
        <charset val="204"/>
      </rPr>
      <t>(</t>
    </r>
    <r>
      <rPr>
        <sz val="8"/>
        <color rgb="FFB5CEA8"/>
        <rFont val="Courier New"/>
        <family val="3"/>
        <charset val="204"/>
      </rPr>
      <t>0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q_max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</t>
    </r>
    <r>
      <rPr>
        <sz val="8"/>
        <color rgb="FFB5CEA8"/>
        <rFont val="Courier New"/>
        <family val="3"/>
        <charset val="204"/>
      </rPr>
      <t>300</t>
    </r>
    <r>
      <rPr>
        <sz val="8"/>
        <color rgb="FFDCDCDC"/>
        <rFont val="Courier New"/>
        <family val="3"/>
        <charset val="204"/>
      </rPr>
      <t>)</t>
    </r>
  </si>
  <si>
    <t>revenue = P * q</t>
  </si>
  <si>
    <t>total_cost = F + V * q</t>
  </si>
  <si>
    <r>
      <t>fixed_cost = np.full_like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>q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F</t>
    </r>
    <r>
      <rPr>
        <sz val="8"/>
        <color rgb="FFDCDCDC"/>
        <rFont val="Courier New"/>
        <family val="3"/>
        <charset val="204"/>
      </rPr>
      <t>)</t>
    </r>
  </si>
  <si>
    <t>variable_cost = V * q</t>
  </si>
  <si>
    <t># --- График ---</t>
  </si>
  <si>
    <r>
      <t>plt.tight_layout</t>
    </r>
    <r>
      <rPr>
        <sz val="8"/>
        <color rgb="FFDCDCDC"/>
        <rFont val="Courier New"/>
        <family val="3"/>
        <charset val="204"/>
      </rPr>
      <t>()</t>
    </r>
  </si>
  <si>
    <r>
      <t>plt.show</t>
    </r>
    <r>
      <rPr>
        <sz val="8"/>
        <color rgb="FFDCDCDC"/>
        <rFont val="Courier New"/>
        <family val="3"/>
        <charset val="204"/>
      </rPr>
      <t>()</t>
    </r>
  </si>
  <si>
    <r>
      <t>fig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ax = plt.subplots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>figsize=</t>
    </r>
    <r>
      <rPr>
        <sz val="8"/>
        <color rgb="FFDCDCDC"/>
        <rFont val="Courier New"/>
        <family val="3"/>
        <charset val="204"/>
      </rPr>
      <t>(</t>
    </r>
    <r>
      <rPr>
        <sz val="8"/>
        <color rgb="FFB5CEA8"/>
        <rFont val="Courier New"/>
        <family val="3"/>
        <charset val="204"/>
      </rPr>
      <t>9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</t>
    </r>
    <r>
      <rPr>
        <sz val="8"/>
        <color rgb="FFB5CEA8"/>
        <rFont val="Courier New"/>
        <family val="3"/>
        <charset val="204"/>
      </rPr>
      <t>6</t>
    </r>
    <r>
      <rPr>
        <sz val="8"/>
        <color rgb="FFDCDCDC"/>
        <rFont val="Courier New"/>
        <family val="3"/>
        <charset val="204"/>
      </rPr>
      <t>))</t>
    </r>
  </si>
  <si>
    <r>
      <t>ax.plot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>q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variable_cost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</t>
    </r>
    <r>
      <rPr>
        <sz val="8"/>
        <color rgb="FFCE9178"/>
        <rFont val="Courier New"/>
        <family val="3"/>
        <charset val="204"/>
      </rPr>
      <t>":"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label=</t>
    </r>
    <r>
      <rPr>
        <sz val="8"/>
        <color rgb="FFCE9178"/>
        <rFont val="Courier New"/>
        <family val="3"/>
        <charset val="204"/>
      </rPr>
      <t>"Переменные затраты"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linewidth=</t>
    </r>
    <r>
      <rPr>
        <sz val="8"/>
        <color rgb="FFB5CEA8"/>
        <rFont val="Courier New"/>
        <family val="3"/>
        <charset val="204"/>
      </rPr>
      <t>1.5</t>
    </r>
    <r>
      <rPr>
        <sz val="8"/>
        <color rgb="FFDCDCDC"/>
        <rFont val="Courier New"/>
        <family val="3"/>
        <charset val="204"/>
      </rPr>
      <t>)</t>
    </r>
  </si>
  <si>
    <r>
      <t>ax.set_xlabel</t>
    </r>
    <r>
      <rPr>
        <sz val="8"/>
        <color rgb="FFDCDCDC"/>
        <rFont val="Courier New"/>
        <family val="3"/>
        <charset val="204"/>
      </rPr>
      <t>(</t>
    </r>
    <r>
      <rPr>
        <sz val="8"/>
        <color rgb="FFCE9178"/>
        <rFont val="Courier New"/>
        <family val="3"/>
        <charset val="204"/>
      </rPr>
      <t>"Объём продаж, шт."</t>
    </r>
    <r>
      <rPr>
        <sz val="8"/>
        <color rgb="FFDCDCDC"/>
        <rFont val="Courier New"/>
        <family val="3"/>
        <charset val="204"/>
      </rPr>
      <t>)</t>
    </r>
  </si>
  <si>
    <r>
      <t>ax.set_xticks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>xticks</t>
    </r>
    <r>
      <rPr>
        <sz val="8"/>
        <color rgb="FFDCDCDC"/>
        <rFont val="Courier New"/>
        <family val="3"/>
        <charset val="204"/>
      </rPr>
      <t>)</t>
    </r>
  </si>
  <si>
    <r>
      <t>ax.set_xlim</t>
    </r>
    <r>
      <rPr>
        <sz val="8"/>
        <color rgb="FFDCDCDC"/>
        <rFont val="Courier New"/>
        <family val="3"/>
        <charset val="204"/>
      </rPr>
      <t>(</t>
    </r>
    <r>
      <rPr>
        <sz val="8"/>
        <color rgb="FFB5CEA8"/>
        <rFont val="Courier New"/>
        <family val="3"/>
        <charset val="204"/>
      </rPr>
      <t>0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q_max</t>
    </r>
    <r>
      <rPr>
        <sz val="8"/>
        <color rgb="FFDCDCDC"/>
        <rFont val="Courier New"/>
        <family val="3"/>
        <charset val="204"/>
      </rPr>
      <t>)</t>
    </r>
  </si>
  <si>
    <r>
      <t>ax.set_ylim</t>
    </r>
    <r>
      <rPr>
        <sz val="8"/>
        <color rgb="FFDCDCDC"/>
        <rFont val="Courier New"/>
        <family val="3"/>
        <charset val="204"/>
      </rPr>
      <t>(</t>
    </r>
    <r>
      <rPr>
        <sz val="8"/>
        <color rgb="FFB5CEA8"/>
        <rFont val="Courier New"/>
        <family val="3"/>
        <charset val="204"/>
      </rPr>
      <t>0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</t>
    </r>
    <r>
      <rPr>
        <sz val="8"/>
        <color rgb="FFDCDCAA"/>
        <rFont val="Courier New"/>
        <family val="3"/>
        <charset val="204"/>
      </rPr>
      <t>max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>revenue.</t>
    </r>
    <r>
      <rPr>
        <sz val="8"/>
        <color rgb="FFDCDCAA"/>
        <rFont val="Courier New"/>
        <family val="3"/>
        <charset val="204"/>
      </rPr>
      <t>max</t>
    </r>
    <r>
      <rPr>
        <sz val="8"/>
        <color rgb="FFDCDCDC"/>
        <rFont val="Courier New"/>
        <family val="3"/>
        <charset val="204"/>
      </rPr>
      <t>(),</t>
    </r>
    <r>
      <rPr>
        <sz val="8"/>
        <color rgb="FFD4D4D4"/>
        <rFont val="Courier New"/>
        <family val="3"/>
        <charset val="204"/>
      </rPr>
      <t xml:space="preserve"> total_cost.</t>
    </r>
    <r>
      <rPr>
        <sz val="8"/>
        <color rgb="FFDCDCAA"/>
        <rFont val="Courier New"/>
        <family val="3"/>
        <charset val="204"/>
      </rPr>
      <t>max</t>
    </r>
    <r>
      <rPr>
        <sz val="8"/>
        <color rgb="FFDCDCDC"/>
        <rFont val="Courier New"/>
        <family val="3"/>
        <charset val="204"/>
      </rPr>
      <t>())</t>
    </r>
    <r>
      <rPr>
        <sz val="8"/>
        <color rgb="FFD4D4D4"/>
        <rFont val="Courier New"/>
        <family val="3"/>
        <charset val="204"/>
      </rPr>
      <t xml:space="preserve"> * </t>
    </r>
    <r>
      <rPr>
        <sz val="8"/>
        <color rgb="FFB5CEA8"/>
        <rFont val="Courier New"/>
        <family val="3"/>
        <charset val="204"/>
      </rPr>
      <t>1.05</t>
    </r>
    <r>
      <rPr>
        <sz val="8"/>
        <color rgb="FFDCDCDC"/>
        <rFont val="Courier New"/>
        <family val="3"/>
        <charset val="204"/>
      </rPr>
      <t>)</t>
    </r>
  </si>
  <si>
    <r>
      <t>ax.grid</t>
    </r>
    <r>
      <rPr>
        <sz val="8"/>
        <color rgb="FFDCDCDC"/>
        <rFont val="Courier New"/>
        <family val="3"/>
        <charset val="204"/>
      </rPr>
      <t>(</t>
    </r>
    <r>
      <rPr>
        <sz val="8"/>
        <color rgb="FF569CD6"/>
        <rFont val="Courier New"/>
        <family val="3"/>
        <charset val="204"/>
      </rPr>
      <t>True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linewidth=</t>
    </r>
    <r>
      <rPr>
        <sz val="8"/>
        <color rgb="FFB5CEA8"/>
        <rFont val="Courier New"/>
        <family val="3"/>
        <charset val="204"/>
      </rPr>
      <t>0.4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alpha=</t>
    </r>
    <r>
      <rPr>
        <sz val="8"/>
        <color rgb="FFB5CEA8"/>
        <rFont val="Courier New"/>
        <family val="3"/>
        <charset val="204"/>
      </rPr>
      <t>0.4</t>
    </r>
    <r>
      <rPr>
        <sz val="8"/>
        <color rgb="FFDCDCDC"/>
        <rFont val="Courier New"/>
        <family val="3"/>
        <charset val="204"/>
      </rPr>
      <t>)</t>
    </r>
  </si>
  <si>
    <r>
      <t>ax.legend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>loc=</t>
    </r>
    <r>
      <rPr>
        <sz val="8"/>
        <color rgb="FFCE9178"/>
        <rFont val="Courier New"/>
        <family val="3"/>
        <charset val="204"/>
      </rPr>
      <t>"upper left"</t>
    </r>
    <r>
      <rPr>
        <sz val="8"/>
        <color rgb="FFDCDCDC"/>
        <rFont val="Courier New"/>
        <family val="3"/>
        <charset val="204"/>
      </rPr>
      <t>)</t>
    </r>
  </si>
  <si>
    <r>
      <t>ax.set_ylabel</t>
    </r>
    <r>
      <rPr>
        <sz val="8"/>
        <color rgb="FFDCDCDC"/>
        <rFont val="Courier New"/>
        <family val="3"/>
        <charset val="204"/>
      </rPr>
      <t>(</t>
    </r>
    <r>
      <rPr>
        <sz val="8"/>
        <color rgb="FFCE9178"/>
        <rFont val="Courier New"/>
        <family val="3"/>
        <charset val="204"/>
      </rPr>
      <t>"Рублей"</t>
    </r>
    <r>
      <rPr>
        <sz val="8"/>
        <color rgb="FFDCDCDC"/>
        <rFont val="Courier New"/>
        <family val="3"/>
        <charset val="204"/>
      </rPr>
      <t>)</t>
    </r>
  </si>
  <si>
    <r>
      <t>ax.set_yticks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>yticks</t>
    </r>
    <r>
      <rPr>
        <sz val="8"/>
        <color rgb="FFDCDCDC"/>
        <rFont val="Courier New"/>
        <family val="3"/>
        <charset val="204"/>
      </rPr>
      <t>)</t>
    </r>
  </si>
  <si>
    <t>Непредвиденные расходы</t>
  </si>
  <si>
    <t>1 квартал,руб.</t>
  </si>
  <si>
    <t>2 квартал,руб.</t>
  </si>
  <si>
    <t>3 квартал,руб.</t>
  </si>
  <si>
    <t>4 квартал,руб.</t>
  </si>
  <si>
    <t>Постоянные расходы за 1,5 года</t>
  </si>
  <si>
    <t>Переменные расхходы за 1,5 года</t>
  </si>
  <si>
    <t>5 клиентов в год</t>
  </si>
  <si>
    <t>Сопровождение/актуализация сертификации</t>
  </si>
  <si>
    <r>
      <rPr>
        <b/>
        <sz val="11"/>
        <color theme="1"/>
        <rFont val="Calibri"/>
        <family val="2"/>
        <charset val="204"/>
        <scheme val="minor"/>
      </rPr>
      <t>Комментарий для 2-го года:</t>
    </r>
    <r>
      <rPr>
        <sz val="11"/>
        <color theme="1"/>
        <rFont val="Calibri"/>
        <family val="2"/>
        <scheme val="minor"/>
      </rPr>
      <t xml:space="preserve">
Переменные затраты отражают переход проекта от этапа НИОКР к практическим внедрениям. Основной объём расходов приходится на сертификацию ФСТЭК (900 тыс. руб.) и аренду тестового оборудования (500 тыс. руб.), что характерно для периода подготовки продукта к пилотной эксплуатации. Поддержка и техническое сопровождение клиентов находятся на минимальном уровне, соответствующем ограниченному числу установок. Маркетинг ориентирован на отработку первых каналов привлечения (минимальные расходы на рекламу и лидогенерацию). Наличие резервной статьи «непредвиденные расходы» (300 тыс.) обеспечивает финансовую устойчивость.</t>
    </r>
  </si>
  <si>
    <r>
      <rPr>
        <b/>
        <sz val="11"/>
        <color theme="1"/>
        <rFont val="Calibri"/>
        <family val="2"/>
        <charset val="204"/>
        <scheme val="minor"/>
      </rPr>
      <t>Комментарий для 4-го года:</t>
    </r>
    <r>
      <rPr>
        <sz val="11"/>
        <color theme="1"/>
        <rFont val="Calibri"/>
        <family val="2"/>
        <scheme val="minor"/>
      </rPr>
      <t xml:space="preserve">
Переменные расходы увеличиваются из-за масштабирования коммерческих установок и роста клиентской базы. Возрастают затраты на сопровождение, маркетинг, агентские комиссии и аренду оборудования (до 1,2 млн руб.), что соответствует выходу продукта на стабильный рынок. Поддержка сертификации и SLA закрепляется как регулярная статья эксплуатационных расходов. Рост API-затрат отражает увеличение числа интеграций и внешних подключений. Уровень резервирования (500 тыс.) поддерживает управляемый риск при расширении деятельности.</t>
    </r>
  </si>
  <si>
    <r>
      <rPr>
        <b/>
        <sz val="11"/>
        <color theme="1"/>
        <rFont val="Calibri"/>
        <family val="2"/>
        <charset val="204"/>
        <scheme val="minor"/>
      </rPr>
      <t xml:space="preserve">Комментарий для 3-го года: </t>
    </r>
    <r>
      <rPr>
        <sz val="11"/>
        <color theme="1"/>
        <rFont val="Calibri"/>
        <family val="2"/>
        <scheme val="minor"/>
      </rPr>
      <t xml:space="preserve">
Разработчики и бизнес-аналитик работают на 0,75 ставки (этап расширенной разработки и пилотов).
Проект выходит в фазу активного внедрения и первых продаж. Фонд оплаты труда увеличен до 0,75 ставки для ключевых специалистов. Структура затрат стабильна, с умеренным ростом операционных расходов.</t>
    </r>
  </si>
  <si>
    <r>
      <rPr>
        <b/>
        <sz val="11"/>
        <color theme="1"/>
        <rFont val="Calibri"/>
        <family val="2"/>
        <charset val="204"/>
        <scheme val="minor"/>
      </rPr>
      <t xml:space="preserve">Комментарий для 4-го года: </t>
    </r>
    <r>
      <rPr>
        <sz val="11"/>
        <color theme="1"/>
        <rFont val="Calibri"/>
        <family val="2"/>
        <scheme val="minor"/>
      </rPr>
      <t xml:space="preserve">
Команда выходит на полную занятость. Расходы увеличиваются за счёт масштабирования продаж и инфраструктуры, при этом сохраняется оптимальная структура: доля ФОТ — около 50–55% от постоянных затрат, операционные – 15–20%, маркетинг – 20–30%.</t>
    </r>
  </si>
  <si>
    <r>
      <rPr>
        <b/>
        <sz val="11"/>
        <color theme="1"/>
        <rFont val="Calibri"/>
        <family val="2"/>
        <charset val="204"/>
        <scheme val="minor"/>
      </rPr>
      <t>Комментарий для 2-го года:</t>
    </r>
    <r>
      <rPr>
        <sz val="11"/>
        <color theme="1"/>
        <rFont val="Calibri"/>
        <family val="2"/>
        <scheme val="minor"/>
      </rPr>
      <t xml:space="preserve">
Сохраняется минимальный штат (частичная занятость). Основные расходы приходятся на ФОТ и сопровождение разработки. Маркетинг и операционные затраты умеренные, соответствуют стадии выхода на рынок и подготовке к сертификации ФСТЭК.</t>
    </r>
  </si>
  <si>
    <r>
      <rPr>
        <b/>
        <sz val="11"/>
        <color theme="1"/>
        <rFont val="Calibri"/>
        <family val="2"/>
        <charset val="204"/>
        <scheme val="minor"/>
      </rPr>
      <t>Итоговая сводка:</t>
    </r>
    <r>
      <rPr>
        <sz val="11"/>
        <color theme="1"/>
        <rFont val="Calibri"/>
        <family val="2"/>
        <scheme val="minor"/>
      </rPr>
      <t xml:space="preserve">
Постоянные затраты демонстрируют плавный рост, отражающий переход проекта от этапа разработки к стадии коммерциализации. Расходы увеличиваются поступательно, без разрывов по статьям. Баланс между фондом оплаты труда, маркетингом и операционными издержками сохраняется, что обеспечивает финансовую устойчивость и предсказуемость модели.
Переменные затраты формируются в зависимости от объёма внедрений и клиентской активности. На втором году они сосредоточены вокруг сертификации ФСТЭК и подготовки пилотных установок, на третьем – смещаются к внедрению и поддержке клиентов, а к четвёртому – отражают масштабирование продукта и рост числа коммерческих интеграций. Структура расходов по годам логична и отражает последовательное развитие бизнеса: от тестовых установок к полноценной эксплуатации.
Первоначальные расходы (нулевой этап) охватывают закупку оборудования, формирование базовой инфраструктуры и разработку MVP. Эти затраты носят разовый характер и создают основу для дальнейшего роста, без необходимости повторных крупных вложений в оборудование или инфраструктуру.
В совокупности структура затрат демонстрирует продуманную финансовую динамику: постепенное наращивание расходов по мере роста операционной активности и выход на устойчивую модель в 4-м году.</t>
    </r>
  </si>
  <si>
    <r>
      <rPr>
        <b/>
        <sz val="11"/>
        <color theme="1"/>
        <rFont val="Calibri"/>
        <family val="2"/>
        <charset val="204"/>
        <scheme val="minor"/>
      </rPr>
      <t>Комментарий для 3-го года:</t>
    </r>
    <r>
      <rPr>
        <sz val="11"/>
        <color theme="1"/>
        <rFont val="Calibri"/>
        <family val="2"/>
        <scheme val="minor"/>
      </rPr>
      <t xml:space="preserve">
Затраты смещаются от сертификационных процедур к сопровождению клиентов и активному внедрению. Появляется статья на актуализацию сертификации (90 тыс.), увеличиваются расходы на установку ПО и техническую поддержку. Рост маркетинговых расходов и агентских комиссий связан с переходом к фазе продаж и продвижения продукта на рынке. Существенно увеличена аренда тестового стенда (800 тыс.) – это отражает проведение пилотных внедрений у нескольких заказчиков. Общий объём затрат снижается относительно предыдущего года, что логично после завершения дорогостоящей сертификации.</t>
    </r>
  </si>
  <si>
    <r>
      <rPr>
        <b/>
        <sz val="11"/>
        <color theme="1"/>
        <rFont val="Calibri"/>
        <family val="2"/>
        <charset val="204"/>
        <scheme val="minor"/>
      </rPr>
      <t>Комметарий к первоначальным затратам:</t>
    </r>
    <r>
      <rPr>
        <sz val="11"/>
        <color theme="1"/>
        <rFont val="Calibri"/>
        <family val="2"/>
        <scheme val="minor"/>
      </rPr>
      <t xml:space="preserve">
В пессимистичном сценарии предполагается реализация минимально необходимого объёма работ при ограниченном финансировании (2,5 млн ₽). Реалистичный сценарий отражает базовый вариант с полным покрытием расходов (3,0 млн ₽). Оптимистичный сценарий учитывает расширение команды и увеличение объёма работ за счёт дополнительных инвестиций (6,0 млн ₽).
Во всех сценариях объём источников превышает расходы, что обеспечивает наличие резервного фонда и финансовую устойчивость проекта.</t>
    </r>
  </si>
  <si>
    <t>Выручка, руб.</t>
  </si>
  <si>
    <r>
      <rPr>
        <b/>
        <sz val="11"/>
        <color theme="1"/>
        <rFont val="Calibri"/>
        <family val="2"/>
        <charset val="204"/>
        <scheme val="minor"/>
      </rPr>
      <t>Стандартный ПЛЮС</t>
    </r>
    <r>
      <rPr>
        <sz val="11"/>
        <color theme="1"/>
        <rFont val="Calibri"/>
        <family val="2"/>
        <scheme val="minor"/>
      </rPr>
      <t xml:space="preserve">  - 3 500 000 ₽ (программно-аппаратный комплекс, техподдержка 24/7, полная установка и внедрение)</t>
    </r>
  </si>
  <si>
    <r>
      <t>Стандартный -</t>
    </r>
    <r>
      <rPr>
        <sz val="11"/>
        <color theme="1"/>
        <rFont val="Calibri"/>
        <family val="2"/>
        <scheme val="minor"/>
      </rPr>
      <t xml:space="preserve"> 1 000 000 ₽ (лицензия + 1 год техподдержки + внедрение ПО)</t>
    </r>
  </si>
  <si>
    <r>
      <t>Корпоративный</t>
    </r>
    <r>
      <rPr>
        <sz val="11"/>
        <color theme="1"/>
        <rFont val="Calibri"/>
        <family val="2"/>
        <scheme val="minor"/>
      </rPr>
      <t xml:space="preserve"> - 3 000 000 ₽ (несколько объектов, внедрение ПО)</t>
    </r>
  </si>
  <si>
    <t>Стандартный</t>
  </si>
  <si>
    <t>Средняя стоимость продукта:</t>
  </si>
  <si>
    <t>Корпоративный</t>
  </si>
  <si>
    <t>Стандартный ПЛЮС</t>
  </si>
  <si>
    <t>Корпоративный ПЛЮС</t>
  </si>
  <si>
    <t>Прогноз продаж (поступление от реализации) на 2 год, ед</t>
  </si>
  <si>
    <t>Прогноз продаж (поступление от реализации) на 3 год</t>
  </si>
  <si>
    <t>Прогноз продаж (поступление от реализации) на 4 год</t>
  </si>
  <si>
    <t>Итого, шт.</t>
  </si>
  <si>
    <t>Прогноз продаж (поступление от реализации) на 2 год</t>
  </si>
  <si>
    <t>Цена за единицу,руб.</t>
  </si>
  <si>
    <r>
      <t>Корпоративный ПЛЮС</t>
    </r>
    <r>
      <rPr>
        <sz val="11"/>
        <color theme="1"/>
        <rFont val="Calibri"/>
        <family val="2"/>
        <scheme val="minor"/>
      </rPr>
      <t xml:space="preserve"> - 8 000 000 ₽ (полный программно-аппаратный комплекс, техподдержка 24/7, полная установка и внедрение)</t>
    </r>
  </si>
  <si>
    <t>Для нашего продукта в сегменте B2B с длинным циклом продаж и ориентацией на крупные промышленные предприятия сезонность не характерна, так как закупки сложных программно-аппаратных комплексов осуществляются в соответствии с годовыми бюджетами, планами модернизации и производственными нуждами, которые равномерно распределены в течение года и не зависят от времени года или квартала.</t>
  </si>
  <si>
    <t>Средняя стоимость 1 решения</t>
  </si>
  <si>
    <r>
      <t>from</t>
    </r>
    <r>
      <rPr>
        <sz val="8"/>
        <color rgb="FFD4D4D4"/>
        <rFont val="Courier New"/>
        <family val="3"/>
        <charset val="204"/>
      </rPr>
      <t xml:space="preserve"> matplotlib.ticker </t>
    </r>
    <r>
      <rPr>
        <sz val="8"/>
        <color rgb="FFC99CC6"/>
        <rFont val="Courier New"/>
        <family val="3"/>
        <charset val="204"/>
      </rPr>
      <t>import</t>
    </r>
    <r>
      <rPr>
        <sz val="8"/>
        <color rgb="FFD4D4D4"/>
        <rFont val="Courier New"/>
        <family val="3"/>
        <charset val="204"/>
      </rPr>
      <t xml:space="preserve"> FuncFormatter</t>
    </r>
  </si>
  <si>
    <r>
      <t xml:space="preserve">q_max = </t>
    </r>
    <r>
      <rPr>
        <sz val="8"/>
        <color rgb="FFDCDCAA"/>
        <rFont val="Courier New"/>
        <family val="3"/>
        <charset val="204"/>
      </rPr>
      <t>max</t>
    </r>
    <r>
      <rPr>
        <sz val="8"/>
        <color rgb="FFDCDCDC"/>
        <rFont val="Courier New"/>
        <family val="3"/>
        <charset val="204"/>
      </rPr>
      <t>(</t>
    </r>
    <r>
      <rPr>
        <sz val="8"/>
        <color rgb="FFB5CEA8"/>
        <rFont val="Courier New"/>
        <family val="3"/>
        <charset val="204"/>
      </rPr>
      <t>10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</t>
    </r>
    <r>
      <rPr>
        <sz val="8"/>
        <color rgb="FF4EC9B0"/>
        <rFont val="Courier New"/>
        <family val="3"/>
        <charset val="204"/>
      </rPr>
      <t>int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>np.ceil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>Q_bep</t>
    </r>
    <r>
      <rPr>
        <sz val="8"/>
        <color rgb="FFDCDCDC"/>
        <rFont val="Courier New"/>
        <family val="3"/>
        <charset val="204"/>
      </rPr>
      <t>))</t>
    </r>
    <r>
      <rPr>
        <sz val="8"/>
        <color rgb="FFD4D4D4"/>
        <rFont val="Courier New"/>
        <family val="3"/>
        <charset val="204"/>
      </rPr>
      <t xml:space="preserve"> + </t>
    </r>
    <r>
      <rPr>
        <sz val="8"/>
        <color rgb="FFB5CEA8"/>
        <rFont val="Courier New"/>
        <family val="3"/>
        <charset val="204"/>
      </rPr>
      <t>3</t>
    </r>
    <r>
      <rPr>
        <sz val="8"/>
        <color rgb="FFDCDCDC"/>
        <rFont val="Courier New"/>
        <family val="3"/>
        <charset val="204"/>
      </rPr>
      <t>)</t>
    </r>
  </si>
  <si>
    <r>
      <t>ax.plot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>q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revenue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label=</t>
    </r>
    <r>
      <rPr>
        <sz val="8"/>
        <color rgb="FFCE9178"/>
        <rFont val="Courier New"/>
        <family val="3"/>
        <charset val="204"/>
      </rPr>
      <t>"Выручка"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linewidth=</t>
    </r>
    <r>
      <rPr>
        <sz val="8"/>
        <color rgb="FFB5CEA8"/>
        <rFont val="Courier New"/>
        <family val="3"/>
        <charset val="204"/>
      </rPr>
      <t>2</t>
    </r>
    <r>
      <rPr>
        <sz val="8"/>
        <color rgb="FFDCDCDC"/>
        <rFont val="Courier New"/>
        <family val="3"/>
        <charset val="204"/>
      </rPr>
      <t>)</t>
    </r>
  </si>
  <si>
    <r>
      <t>ax.plot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>q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total_cost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label=</t>
    </r>
    <r>
      <rPr>
        <sz val="8"/>
        <color rgb="FFCE9178"/>
        <rFont val="Courier New"/>
        <family val="3"/>
        <charset val="204"/>
      </rPr>
      <t>"Суммарные затраты"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linewidth=</t>
    </r>
    <r>
      <rPr>
        <sz val="8"/>
        <color rgb="FFB5CEA8"/>
        <rFont val="Courier New"/>
        <family val="3"/>
        <charset val="204"/>
      </rPr>
      <t>2</t>
    </r>
    <r>
      <rPr>
        <sz val="8"/>
        <color rgb="FFDCDCDC"/>
        <rFont val="Courier New"/>
        <family val="3"/>
        <charset val="204"/>
      </rPr>
      <t>)</t>
    </r>
  </si>
  <si>
    <r>
      <t>ax.plot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>q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fixed_cost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</t>
    </r>
    <r>
      <rPr>
        <sz val="8"/>
        <color rgb="FFCE9178"/>
        <rFont val="Courier New"/>
        <family val="3"/>
        <charset val="204"/>
      </rPr>
      <t>"--"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label=</t>
    </r>
    <r>
      <rPr>
        <sz val="8"/>
        <color rgb="FFCE9178"/>
        <rFont val="Courier New"/>
        <family val="3"/>
        <charset val="204"/>
      </rPr>
      <t>"Постоянные затраты"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linewidth=</t>
    </r>
    <r>
      <rPr>
        <sz val="8"/>
        <color rgb="FFB5CEA8"/>
        <rFont val="Courier New"/>
        <family val="3"/>
        <charset val="204"/>
      </rPr>
      <t>1.5</t>
    </r>
    <r>
      <rPr>
        <sz val="8"/>
        <color rgb="FFDCDCDC"/>
        <rFont val="Courier New"/>
        <family val="3"/>
        <charset val="204"/>
      </rPr>
      <t>)</t>
    </r>
  </si>
  <si>
    <t># Точка безубыточности</t>
  </si>
  <si>
    <r>
      <t>print</t>
    </r>
    <r>
      <rPr>
        <sz val="8"/>
        <color rgb="FFDCDCDC"/>
        <rFont val="Courier New"/>
        <family val="3"/>
        <charset val="204"/>
      </rPr>
      <t>(</t>
    </r>
    <r>
      <rPr>
        <sz val="8"/>
        <color rgb="FF69A5D7"/>
        <rFont val="Courier New"/>
        <family val="3"/>
        <charset val="204"/>
      </rPr>
      <t>f</t>
    </r>
    <r>
      <rPr>
        <sz val="8"/>
        <color rgb="FFCE9178"/>
        <rFont val="Courier New"/>
        <family val="3"/>
        <charset val="204"/>
      </rPr>
      <t xml:space="preserve">"Точка безубыточности: </t>
    </r>
    <r>
      <rPr>
        <sz val="8"/>
        <color rgb="FFDCDCDC"/>
        <rFont val="Courier New"/>
        <family val="3"/>
        <charset val="204"/>
      </rPr>
      <t>{</t>
    </r>
    <r>
      <rPr>
        <sz val="8"/>
        <color rgb="FFD4D4D4"/>
        <rFont val="Courier New"/>
        <family val="3"/>
        <charset val="204"/>
      </rPr>
      <t>Q_bep</t>
    </r>
    <r>
      <rPr>
        <sz val="8"/>
        <color rgb="FFB5CEA8"/>
        <rFont val="Courier New"/>
        <family val="3"/>
        <charset val="204"/>
      </rPr>
      <t>:.2f</t>
    </r>
    <r>
      <rPr>
        <sz val="8"/>
        <color rgb="FFDCDCDC"/>
        <rFont val="Courier New"/>
        <family val="3"/>
        <charset val="204"/>
      </rPr>
      <t>}</t>
    </r>
    <r>
      <rPr>
        <sz val="8"/>
        <color rgb="FFCE9178"/>
        <rFont val="Courier New"/>
        <family val="3"/>
        <charset val="204"/>
      </rPr>
      <t xml:space="preserve"> шт."</t>
    </r>
    <r>
      <rPr>
        <sz val="8"/>
        <color rgb="FFDCDCDC"/>
        <rFont val="Courier New"/>
        <family val="3"/>
        <charset val="204"/>
      </rPr>
      <t>)</t>
    </r>
  </si>
  <si>
    <t>2 год</t>
  </si>
  <si>
    <t>3 год</t>
  </si>
  <si>
    <t>Пессимистичный</t>
  </si>
  <si>
    <t>Расчет прогноза объема продаж методом скользящей средней (реалистичный сценарий):</t>
  </si>
  <si>
    <t>12 мес.</t>
  </si>
  <si>
    <t>11 мес.</t>
  </si>
  <si>
    <t>1 мес.</t>
  </si>
  <si>
    <t>2 мес.</t>
  </si>
  <si>
    <t>3 мес.</t>
  </si>
  <si>
    <t>4 мес.</t>
  </si>
  <si>
    <t>5 мес.</t>
  </si>
  <si>
    <t>6 мес.</t>
  </si>
  <si>
    <t>7 мес.</t>
  </si>
  <si>
    <t>8 мес.</t>
  </si>
  <si>
    <t>9 мес.</t>
  </si>
  <si>
    <t>10 мес.</t>
  </si>
  <si>
    <t>Поступления - платежи</t>
  </si>
  <si>
    <t>2025-2026 год</t>
  </si>
  <si>
    <t>Финансовый план - 2 год реализации проекта, тыс. руб.</t>
  </si>
  <si>
    <t>2026-2027 год</t>
  </si>
  <si>
    <t>2.1.12</t>
  </si>
  <si>
    <t>2.1.13</t>
  </si>
  <si>
    <t>2.1.14</t>
  </si>
  <si>
    <t>Х</t>
  </si>
  <si>
    <t>Финансовый план - 3 год реализации проекта, тыс. руб.</t>
  </si>
  <si>
    <t>Финансовый план - 4 год реализации проекта, тыс. руб.</t>
  </si>
  <si>
    <t>2027-2028 год</t>
  </si>
  <si>
    <t>2028-2029 год</t>
  </si>
  <si>
    <t>Показатели</t>
  </si>
  <si>
    <t>Выручка (поступления от реализации)</t>
  </si>
  <si>
    <t>Себестоимость (затраты)</t>
  </si>
  <si>
    <t>Прибыль/убыток</t>
  </si>
  <si>
    <t>Чистая прибыль</t>
  </si>
  <si>
    <t>2025-2026</t>
  </si>
  <si>
    <t>2026-2027</t>
  </si>
  <si>
    <t>2027-2028</t>
  </si>
  <si>
    <t>2028-2029</t>
  </si>
  <si>
    <t>Таблица. Прибыли и убытки за 4 года, тыс. руб.</t>
  </si>
  <si>
    <t>Таблица. Показатели эффективности</t>
  </si>
  <si>
    <t>Ставка дисконтирования, %</t>
  </si>
  <si>
    <t>IRR на 31.12.xx, %</t>
  </si>
  <si>
    <t>Срок окупаемости (номинальный), лет</t>
  </si>
  <si>
    <t>Срок окупаемости (дисконтированный), лет</t>
  </si>
  <si>
    <t>NPV, руб.</t>
  </si>
  <si>
    <t>PI, %</t>
  </si>
  <si>
    <t>ARR, %</t>
  </si>
  <si>
    <t>IRR, %</t>
  </si>
  <si>
    <t>EVA, руб.</t>
  </si>
  <si>
    <t>Значнеие</t>
  </si>
  <si>
    <r>
      <t>from</t>
    </r>
    <r>
      <rPr>
        <sz val="8"/>
        <color rgb="FFD4D4D4"/>
        <rFont val="Courier New"/>
        <family val="3"/>
        <charset val="204"/>
      </rPr>
      <t xml:space="preserve"> matplotlib.transforms </t>
    </r>
    <r>
      <rPr>
        <sz val="8"/>
        <color rgb="FFC99CC6"/>
        <rFont val="Courier New"/>
        <family val="3"/>
        <charset val="204"/>
      </rPr>
      <t>import</t>
    </r>
    <r>
      <rPr>
        <sz val="8"/>
        <color rgb="FFD4D4D4"/>
        <rFont val="Courier New"/>
        <family val="3"/>
        <charset val="204"/>
      </rPr>
      <t xml:space="preserve"> blended_transform_factory</t>
    </r>
  </si>
  <si>
    <t># --- Исходные данные ---</t>
  </si>
  <si>
    <t># Постоянные затраты за 1.5 года, ₽</t>
  </si>
  <si>
    <r>
      <t xml:space="preserve">F = </t>
    </r>
    <r>
      <rPr>
        <sz val="8"/>
        <color rgb="FFB5CEA8"/>
        <rFont val="Courier New"/>
        <family val="3"/>
        <charset val="204"/>
      </rPr>
      <t>7_416_386.78</t>
    </r>
  </si>
  <si>
    <t># Прогноз продаж за те же 1.5 года:</t>
  </si>
  <si>
    <t># 2-й год: 4 продукта на 8 500 000 ₽</t>
  </si>
  <si>
    <t># 3-й год (первые 2 квартала): 2 продукта на 4 000 000 ₽</t>
  </si>
  <si>
    <r>
      <t xml:space="preserve">n_clients = </t>
    </r>
    <r>
      <rPr>
        <sz val="8"/>
        <color rgb="FFB5CEA8"/>
        <rFont val="Courier New"/>
        <family val="3"/>
        <charset val="204"/>
      </rPr>
      <t>6</t>
    </r>
    <r>
      <rPr>
        <sz val="8"/>
        <color rgb="FFD4D4D4"/>
        <rFont val="Courier New"/>
        <family val="3"/>
        <charset val="204"/>
      </rPr>
      <t xml:space="preserve">                      </t>
    </r>
    <r>
      <rPr>
        <sz val="8"/>
        <color rgb="FF82B76C"/>
        <rFont val="Courier New"/>
        <family val="3"/>
        <charset val="204"/>
      </rPr>
      <t># всего продаж за 1.5 года</t>
    </r>
  </si>
  <si>
    <r>
      <t xml:space="preserve">revenue_1_5y = </t>
    </r>
    <r>
      <rPr>
        <sz val="8"/>
        <color rgb="FFB5CEA8"/>
        <rFont val="Courier New"/>
        <family val="3"/>
        <charset val="204"/>
      </rPr>
      <t>8_500_000</t>
    </r>
    <r>
      <rPr>
        <sz val="8"/>
        <color rgb="FFD4D4D4"/>
        <rFont val="Courier New"/>
        <family val="3"/>
        <charset val="204"/>
      </rPr>
      <t xml:space="preserve"> + </t>
    </r>
    <r>
      <rPr>
        <sz val="8"/>
        <color rgb="FFB5CEA8"/>
        <rFont val="Courier New"/>
        <family val="3"/>
        <charset val="204"/>
      </rPr>
      <t>4_000_000</t>
    </r>
  </si>
  <si>
    <t># Средняя цена за продукт, ₽</t>
  </si>
  <si>
    <r>
      <t xml:space="preserve">P = revenue_1_5y / n_clients       </t>
    </r>
    <r>
      <rPr>
        <sz val="8"/>
        <color rgb="FF82B76C"/>
        <rFont val="Courier New"/>
        <family val="3"/>
        <charset val="204"/>
      </rPr>
      <t># ≈ 2 083 333 ₽</t>
    </r>
  </si>
  <si>
    <t># Переменные затраты за 1.5 года, ₽</t>
  </si>
  <si>
    <r>
      <t xml:space="preserve">V_total = </t>
    </r>
    <r>
      <rPr>
        <sz val="8"/>
        <color rgb="FFB5CEA8"/>
        <rFont val="Courier New"/>
        <family val="3"/>
        <charset val="204"/>
      </rPr>
      <t>3_164_050.00</t>
    </r>
  </si>
  <si>
    <r>
      <t>V = V_total / n_clients            </t>
    </r>
    <r>
      <rPr>
        <sz val="8"/>
        <color rgb="FF82B76C"/>
        <rFont val="Courier New"/>
        <family val="3"/>
        <charset val="204"/>
      </rPr>
      <t># переменные затраты на 1 продукт</t>
    </r>
  </si>
  <si>
    <t># --- Расчёты точки безубыточности ---</t>
  </si>
  <si>
    <r>
      <t xml:space="preserve">cm = P - V                         </t>
    </r>
    <r>
      <rPr>
        <sz val="8"/>
        <color rgb="FF82B76C"/>
        <rFont val="Courier New"/>
        <family val="3"/>
        <charset val="204"/>
      </rPr>
      <t># маржинальный доход на единицу</t>
    </r>
  </si>
  <si>
    <r>
      <t xml:space="preserve">Q_bep = F / cm                     </t>
    </r>
    <r>
      <rPr>
        <sz val="8"/>
        <color rgb="FF82B76C"/>
        <rFont val="Courier New"/>
        <family val="3"/>
        <charset val="204"/>
      </rPr>
      <t># точка безубыточности в штуках</t>
    </r>
  </si>
  <si>
    <r>
      <t>R_bep = P * Q_bep                  </t>
    </r>
    <r>
      <rPr>
        <sz val="8"/>
        <color rgb="FF82B76C"/>
        <rFont val="Courier New"/>
        <family val="3"/>
        <charset val="204"/>
      </rPr>
      <t># выручка в точке безубыточности</t>
    </r>
  </si>
  <si>
    <r>
      <t>print</t>
    </r>
    <r>
      <rPr>
        <sz val="8"/>
        <color rgb="FFDCDCDC"/>
        <rFont val="Courier New"/>
        <family val="3"/>
        <charset val="204"/>
      </rPr>
      <t>(</t>
    </r>
    <r>
      <rPr>
        <sz val="8"/>
        <color rgb="FF69A5D7"/>
        <rFont val="Courier New"/>
        <family val="3"/>
        <charset val="204"/>
      </rPr>
      <t>f</t>
    </r>
    <r>
      <rPr>
        <sz val="8"/>
        <color rgb="FFCE9178"/>
        <rFont val="Courier New"/>
        <family val="3"/>
        <charset val="204"/>
      </rPr>
      <t xml:space="preserve">"Маржинальный доход на единицу: </t>
    </r>
    <r>
      <rPr>
        <sz val="8"/>
        <color rgb="FFDCDCDC"/>
        <rFont val="Courier New"/>
        <family val="3"/>
        <charset val="204"/>
      </rPr>
      <t>{</t>
    </r>
    <r>
      <rPr>
        <sz val="8"/>
        <color rgb="FFD4D4D4"/>
        <rFont val="Courier New"/>
        <family val="3"/>
        <charset val="204"/>
      </rPr>
      <t>cm</t>
    </r>
    <r>
      <rPr>
        <sz val="8"/>
        <color rgb="FFB5CEA8"/>
        <rFont val="Courier New"/>
        <family val="3"/>
        <charset val="204"/>
      </rPr>
      <t>:,.2f</t>
    </r>
    <r>
      <rPr>
        <sz val="8"/>
        <color rgb="FFDCDCDC"/>
        <rFont val="Courier New"/>
        <family val="3"/>
        <charset val="204"/>
      </rPr>
      <t>}</t>
    </r>
    <r>
      <rPr>
        <sz val="8"/>
        <color rgb="FFCE9178"/>
        <rFont val="Courier New"/>
        <family val="3"/>
        <charset val="204"/>
      </rPr>
      <t xml:space="preserve"> ₽"</t>
    </r>
    <r>
      <rPr>
        <sz val="8"/>
        <color rgb="FFD4D4D4"/>
        <rFont val="Courier New"/>
        <family val="3"/>
        <charset val="204"/>
      </rPr>
      <t>.replace</t>
    </r>
    <r>
      <rPr>
        <sz val="8"/>
        <color rgb="FFDCDCDC"/>
        <rFont val="Courier New"/>
        <family val="3"/>
        <charset val="204"/>
      </rPr>
      <t>(</t>
    </r>
    <r>
      <rPr>
        <sz val="8"/>
        <color rgb="FFCE9178"/>
        <rFont val="Courier New"/>
        <family val="3"/>
        <charset val="204"/>
      </rPr>
      <t>","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</t>
    </r>
    <r>
      <rPr>
        <sz val="8"/>
        <color rgb="FFCE9178"/>
        <rFont val="Courier New"/>
        <family val="3"/>
        <charset val="204"/>
      </rPr>
      <t>" "</t>
    </r>
    <r>
      <rPr>
        <sz val="8"/>
        <color rgb="FFDCDCDC"/>
        <rFont val="Courier New"/>
        <family val="3"/>
        <charset val="204"/>
      </rPr>
      <t>))</t>
    </r>
  </si>
  <si>
    <r>
      <t>print</t>
    </r>
    <r>
      <rPr>
        <sz val="8"/>
        <color rgb="FFDCDCDC"/>
        <rFont val="Courier New"/>
        <family val="3"/>
        <charset val="204"/>
      </rPr>
      <t>(</t>
    </r>
    <r>
      <rPr>
        <sz val="8"/>
        <color rgb="FF69A5D7"/>
        <rFont val="Courier New"/>
        <family val="3"/>
        <charset val="204"/>
      </rPr>
      <t>f</t>
    </r>
    <r>
      <rPr>
        <sz val="8"/>
        <color rgb="FFCE9178"/>
        <rFont val="Courier New"/>
        <family val="3"/>
        <charset val="204"/>
      </rPr>
      <t xml:space="preserve">"Выручка в точке безубыточности: </t>
    </r>
    <r>
      <rPr>
        <sz val="8"/>
        <color rgb="FFDCDCDC"/>
        <rFont val="Courier New"/>
        <family val="3"/>
        <charset val="204"/>
      </rPr>
      <t>{</t>
    </r>
    <r>
      <rPr>
        <sz val="8"/>
        <color rgb="FFD4D4D4"/>
        <rFont val="Courier New"/>
        <family val="3"/>
        <charset val="204"/>
      </rPr>
      <t>R_bep</t>
    </r>
    <r>
      <rPr>
        <sz val="8"/>
        <color rgb="FFB5CEA8"/>
        <rFont val="Courier New"/>
        <family val="3"/>
        <charset val="204"/>
      </rPr>
      <t>:,.2f</t>
    </r>
    <r>
      <rPr>
        <sz val="8"/>
        <color rgb="FFDCDCDC"/>
        <rFont val="Courier New"/>
        <family val="3"/>
        <charset val="204"/>
      </rPr>
      <t>}</t>
    </r>
    <r>
      <rPr>
        <sz val="8"/>
        <color rgb="FFCE9178"/>
        <rFont val="Courier New"/>
        <family val="3"/>
        <charset val="204"/>
      </rPr>
      <t xml:space="preserve"> ₽"</t>
    </r>
    <r>
      <rPr>
        <sz val="8"/>
        <color rgb="FFD4D4D4"/>
        <rFont val="Courier New"/>
        <family val="3"/>
        <charset val="204"/>
      </rPr>
      <t>.replace</t>
    </r>
    <r>
      <rPr>
        <sz val="8"/>
        <color rgb="FFDCDCDC"/>
        <rFont val="Courier New"/>
        <family val="3"/>
        <charset val="204"/>
      </rPr>
      <t>(</t>
    </r>
    <r>
      <rPr>
        <sz val="8"/>
        <color rgb="FFCE9178"/>
        <rFont val="Courier New"/>
        <family val="3"/>
        <charset val="204"/>
      </rPr>
      <t>","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</t>
    </r>
    <r>
      <rPr>
        <sz val="8"/>
        <color rgb="FFCE9178"/>
        <rFont val="Courier New"/>
        <family val="3"/>
        <charset val="204"/>
      </rPr>
      <t>" "</t>
    </r>
    <r>
      <rPr>
        <sz val="8"/>
        <color rgb="FFDCDCDC"/>
        <rFont val="Courier New"/>
        <family val="3"/>
        <charset val="204"/>
      </rPr>
      <t>))</t>
    </r>
  </si>
  <si>
    <t># --- Подготовка данных для графика ---</t>
  </si>
  <si>
    <r>
      <t>ax.scatter</t>
    </r>
    <r>
      <rPr>
        <sz val="8"/>
        <color rgb="FFDCDCDC"/>
        <rFont val="Courier New"/>
        <family val="3"/>
        <charset val="204"/>
      </rPr>
      <t>([</t>
    </r>
    <r>
      <rPr>
        <sz val="8"/>
        <color rgb="FFD4D4D4"/>
        <rFont val="Courier New"/>
        <family val="3"/>
        <charset val="204"/>
      </rPr>
      <t>Q_bep</t>
    </r>
    <r>
      <rPr>
        <sz val="8"/>
        <color rgb="FFDCDCDC"/>
        <rFont val="Courier New"/>
        <family val="3"/>
        <charset val="204"/>
      </rPr>
      <t>],</t>
    </r>
    <r>
      <rPr>
        <sz val="8"/>
        <color rgb="FFD4D4D4"/>
        <rFont val="Courier New"/>
        <family val="3"/>
        <charset val="204"/>
      </rPr>
      <t xml:space="preserve"> </t>
    </r>
    <r>
      <rPr>
        <sz val="8"/>
        <color rgb="FFDCDCDC"/>
        <rFont val="Courier New"/>
        <family val="3"/>
        <charset val="204"/>
      </rPr>
      <t>[</t>
    </r>
    <r>
      <rPr>
        <sz val="8"/>
        <color rgb="FFD4D4D4"/>
        <rFont val="Courier New"/>
        <family val="3"/>
        <charset val="204"/>
      </rPr>
      <t>R_bep</t>
    </r>
    <r>
      <rPr>
        <sz val="8"/>
        <color rgb="FFDCDCDC"/>
        <rFont val="Courier New"/>
        <family val="3"/>
        <charset val="204"/>
      </rPr>
      <t>],</t>
    </r>
    <r>
      <rPr>
        <sz val="8"/>
        <color rgb="FFD4D4D4"/>
        <rFont val="Courier New"/>
        <family val="3"/>
        <charset val="204"/>
      </rPr>
      <t xml:space="preserve"> s=</t>
    </r>
    <r>
      <rPr>
        <sz val="8"/>
        <color rgb="FFB5CEA8"/>
        <rFont val="Courier New"/>
        <family val="3"/>
        <charset val="204"/>
      </rPr>
      <t>150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marker=</t>
    </r>
    <r>
      <rPr>
        <sz val="8"/>
        <color rgb="FFCE9178"/>
        <rFont val="Courier New"/>
        <family val="3"/>
        <charset val="204"/>
      </rPr>
      <t>"*"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zorder=</t>
    </r>
    <r>
      <rPr>
        <sz val="8"/>
        <color rgb="FFB5CEA8"/>
        <rFont val="Courier New"/>
        <family val="3"/>
        <charset val="204"/>
      </rPr>
      <t>5</t>
    </r>
    <r>
      <rPr>
        <sz val="8"/>
        <color rgb="FFDCDCDC"/>
        <rFont val="Courier New"/>
        <family val="3"/>
        <charset val="204"/>
      </rPr>
      <t>)</t>
    </r>
  </si>
  <si>
    <r>
      <t>ax.axvline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>Q_bep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linestyle=</t>
    </r>
    <r>
      <rPr>
        <sz val="8"/>
        <color rgb="FFCE9178"/>
        <rFont val="Courier New"/>
        <family val="3"/>
        <charset val="204"/>
      </rPr>
      <t>"--"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linewidth=</t>
    </r>
    <r>
      <rPr>
        <sz val="8"/>
        <color rgb="FFB5CEA8"/>
        <rFont val="Courier New"/>
        <family val="3"/>
        <charset val="204"/>
      </rPr>
      <t>1</t>
    </r>
    <r>
      <rPr>
        <sz val="8"/>
        <color rgb="FFDCDCDC"/>
        <rFont val="Courier New"/>
        <family val="3"/>
        <charset val="204"/>
      </rPr>
      <t>)</t>
    </r>
  </si>
  <si>
    <r>
      <t>ax.axhline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>R_bep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linestyle=</t>
    </r>
    <r>
      <rPr>
        <sz val="8"/>
        <color rgb="FFCE9178"/>
        <rFont val="Courier New"/>
        <family val="3"/>
        <charset val="204"/>
      </rPr>
      <t>"--"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linewidth=</t>
    </r>
    <r>
      <rPr>
        <sz val="8"/>
        <color rgb="FFB5CEA8"/>
        <rFont val="Courier New"/>
        <family val="3"/>
        <charset val="204"/>
      </rPr>
      <t>1</t>
    </r>
    <r>
      <rPr>
        <sz val="8"/>
        <color rgb="FFDCDCDC"/>
        <rFont val="Courier New"/>
        <family val="3"/>
        <charset val="204"/>
      </rPr>
      <t>)</t>
    </r>
  </si>
  <si>
    <r>
      <t>ax.annotate</t>
    </r>
    <r>
      <rPr>
        <sz val="8"/>
        <color rgb="FFDCDCDC"/>
        <rFont val="Courier New"/>
        <family val="3"/>
        <charset val="204"/>
      </rPr>
      <t>(</t>
    </r>
  </si>
  <si>
    <r>
      <t xml:space="preserve">    </t>
    </r>
    <r>
      <rPr>
        <sz val="8"/>
        <color rgb="FFCE9178"/>
        <rFont val="Courier New"/>
        <family val="3"/>
        <charset val="204"/>
      </rPr>
      <t>"Точка безубыточности"</t>
    </r>
    <r>
      <rPr>
        <sz val="8"/>
        <color rgb="FFDCDCDC"/>
        <rFont val="Courier New"/>
        <family val="3"/>
        <charset val="204"/>
      </rPr>
      <t>,</t>
    </r>
  </si>
  <si>
    <r>
      <t>    xy=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>Q_bep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R_bep</t>
    </r>
    <r>
      <rPr>
        <sz val="8"/>
        <color rgb="FFDCDCDC"/>
        <rFont val="Courier New"/>
        <family val="3"/>
        <charset val="204"/>
      </rPr>
      <t>),</t>
    </r>
  </si>
  <si>
    <r>
      <t>    xytext=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 xml:space="preserve">Q_bep + q_max * </t>
    </r>
    <r>
      <rPr>
        <sz val="8"/>
        <color rgb="FFB5CEA8"/>
        <rFont val="Courier New"/>
        <family val="3"/>
        <charset val="204"/>
      </rPr>
      <t>0.05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R_bep * </t>
    </r>
    <r>
      <rPr>
        <sz val="8"/>
        <color rgb="FFB5CEA8"/>
        <rFont val="Courier New"/>
        <family val="3"/>
        <charset val="204"/>
      </rPr>
      <t>0.5</t>
    </r>
    <r>
      <rPr>
        <sz val="8"/>
        <color rgb="FFDCDCDC"/>
        <rFont val="Courier New"/>
        <family val="3"/>
        <charset val="204"/>
      </rPr>
      <t>),</t>
    </r>
  </si>
  <si>
    <r>
      <t>    arrowprops=</t>
    </r>
    <r>
      <rPr>
        <sz val="8"/>
        <color rgb="FF4EC9B0"/>
        <rFont val="Courier New"/>
        <family val="3"/>
        <charset val="204"/>
      </rPr>
      <t>dict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>arrowstyle=</t>
    </r>
    <r>
      <rPr>
        <sz val="8"/>
        <color rgb="FFCE9178"/>
        <rFont val="Courier New"/>
        <family val="3"/>
        <charset val="204"/>
      </rPr>
      <t>"-&gt;"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lw=</t>
    </r>
    <r>
      <rPr>
        <sz val="8"/>
        <color rgb="FFB5CEA8"/>
        <rFont val="Courier New"/>
        <family val="3"/>
        <charset val="204"/>
      </rPr>
      <t>1</t>
    </r>
    <r>
      <rPr>
        <sz val="8"/>
        <color rgb="FFDCDCDC"/>
        <rFont val="Courier New"/>
        <family val="3"/>
        <charset val="204"/>
      </rPr>
      <t>),</t>
    </r>
  </si>
  <si>
    <r>
      <t>    ha=</t>
    </r>
    <r>
      <rPr>
        <sz val="8"/>
        <color rgb="FFCE9178"/>
        <rFont val="Courier New"/>
        <family val="3"/>
        <charset val="204"/>
      </rPr>
      <t>"left"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va=</t>
    </r>
    <r>
      <rPr>
        <sz val="8"/>
        <color rgb="FFCE9178"/>
        <rFont val="Courier New"/>
        <family val="3"/>
        <charset val="204"/>
      </rPr>
      <t>"top"</t>
    </r>
    <r>
      <rPr>
        <sz val="8"/>
        <color rgb="FFDCDCDC"/>
        <rFont val="Courier New"/>
        <family val="3"/>
        <charset val="204"/>
      </rPr>
      <t>,</t>
    </r>
  </si>
  <si>
    <t>)</t>
  </si>
  <si>
    <t># Подписи областей "Убыток" / "Прибыль"</t>
  </si>
  <si>
    <r>
      <t xml:space="preserve">    </t>
    </r>
    <r>
      <rPr>
        <sz val="8"/>
        <color rgb="FFCE9178"/>
        <rFont val="Courier New"/>
        <family val="3"/>
        <charset val="204"/>
      </rPr>
      <t>"Убыток"</t>
    </r>
    <r>
      <rPr>
        <sz val="8"/>
        <color rgb="FFDCDCDC"/>
        <rFont val="Courier New"/>
        <family val="3"/>
        <charset val="204"/>
      </rPr>
      <t>,</t>
    </r>
  </si>
  <si>
    <r>
      <t>    xy=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 xml:space="preserve">Q_bep * </t>
    </r>
    <r>
      <rPr>
        <sz val="8"/>
        <color rgb="FFB5CEA8"/>
        <rFont val="Courier New"/>
        <family val="3"/>
        <charset val="204"/>
      </rPr>
      <t>0.4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F + V * Q_bep * </t>
    </r>
    <r>
      <rPr>
        <sz val="8"/>
        <color rgb="FFB5CEA8"/>
        <rFont val="Courier New"/>
        <family val="3"/>
        <charset val="204"/>
      </rPr>
      <t>0.4</t>
    </r>
    <r>
      <rPr>
        <sz val="8"/>
        <color rgb="FFDCDCDC"/>
        <rFont val="Courier New"/>
        <family val="3"/>
        <charset val="204"/>
      </rPr>
      <t>),</t>
    </r>
  </si>
  <si>
    <r>
      <t>    xytext=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 xml:space="preserve">Q_bep * </t>
    </r>
    <r>
      <rPr>
        <sz val="8"/>
        <color rgb="FFB5CEA8"/>
        <rFont val="Courier New"/>
        <family val="3"/>
        <charset val="204"/>
      </rPr>
      <t>0.5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F * </t>
    </r>
    <r>
      <rPr>
        <sz val="8"/>
        <color rgb="FFB5CEA8"/>
        <rFont val="Courier New"/>
        <family val="3"/>
        <charset val="204"/>
      </rPr>
      <t>0.8</t>
    </r>
    <r>
      <rPr>
        <sz val="8"/>
        <color rgb="FFDCDCDC"/>
        <rFont val="Courier New"/>
        <family val="3"/>
        <charset val="204"/>
      </rPr>
      <t>),</t>
    </r>
  </si>
  <si>
    <r>
      <t>    ha=</t>
    </r>
    <r>
      <rPr>
        <sz val="8"/>
        <color rgb="FFCE9178"/>
        <rFont val="Courier New"/>
        <family val="3"/>
        <charset val="204"/>
      </rPr>
      <t>"center"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va=</t>
    </r>
    <r>
      <rPr>
        <sz val="8"/>
        <color rgb="FFCE9178"/>
        <rFont val="Courier New"/>
        <family val="3"/>
        <charset val="204"/>
      </rPr>
      <t>"bottom"</t>
    </r>
    <r>
      <rPr>
        <sz val="8"/>
        <color rgb="FFDCDCDC"/>
        <rFont val="Courier New"/>
        <family val="3"/>
        <charset val="204"/>
      </rPr>
      <t>,</t>
    </r>
  </si>
  <si>
    <r>
      <t xml:space="preserve">    </t>
    </r>
    <r>
      <rPr>
        <sz val="8"/>
        <color rgb="FFCE9178"/>
        <rFont val="Courier New"/>
        <family val="3"/>
        <charset val="204"/>
      </rPr>
      <t>"Прибыль"</t>
    </r>
    <r>
      <rPr>
        <sz val="8"/>
        <color rgb="FFDCDCDC"/>
        <rFont val="Courier New"/>
        <family val="3"/>
        <charset val="204"/>
      </rPr>
      <t>,</t>
    </r>
  </si>
  <si>
    <r>
      <t>    xy=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 xml:space="preserve">Q_bep * </t>
    </r>
    <r>
      <rPr>
        <sz val="8"/>
        <color rgb="FFB5CEA8"/>
        <rFont val="Courier New"/>
        <family val="3"/>
        <charset val="204"/>
      </rPr>
      <t>1.3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F + V * Q_bep * </t>
    </r>
    <r>
      <rPr>
        <sz val="8"/>
        <color rgb="FFB5CEA8"/>
        <rFont val="Courier New"/>
        <family val="3"/>
        <charset val="204"/>
      </rPr>
      <t>1.3</t>
    </r>
    <r>
      <rPr>
        <sz val="8"/>
        <color rgb="FFDCDCDC"/>
        <rFont val="Courier New"/>
        <family val="3"/>
        <charset val="204"/>
      </rPr>
      <t>),</t>
    </r>
  </si>
  <si>
    <r>
      <t>    xytext=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 xml:space="preserve">Q_bep * </t>
    </r>
    <r>
      <rPr>
        <sz val="8"/>
        <color rgb="FFB5CEA8"/>
        <rFont val="Courier New"/>
        <family val="3"/>
        <charset val="204"/>
      </rPr>
      <t>1.55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F + V * Q_bep * </t>
    </r>
    <r>
      <rPr>
        <sz val="8"/>
        <color rgb="FFB5CEA8"/>
        <rFont val="Courier New"/>
        <family val="3"/>
        <charset val="204"/>
      </rPr>
      <t>1.3</t>
    </r>
    <r>
      <rPr>
        <sz val="8"/>
        <color rgb="FFD4D4D4"/>
        <rFont val="Courier New"/>
        <family val="3"/>
        <charset val="204"/>
      </rPr>
      <t xml:space="preserve"> + cm * </t>
    </r>
    <r>
      <rPr>
        <sz val="8"/>
        <color rgb="FFB5CEA8"/>
        <rFont val="Courier New"/>
        <family val="3"/>
        <charset val="204"/>
      </rPr>
      <t>1.2</t>
    </r>
    <r>
      <rPr>
        <sz val="8"/>
        <color rgb="FFDCDCDC"/>
        <rFont val="Courier New"/>
        <family val="3"/>
        <charset val="204"/>
      </rPr>
      <t>),</t>
    </r>
  </si>
  <si>
    <t>На основе графика точки безубыточности видно, что стартап окупается после продажи примерно 5 единиц продукта, что соответствует выручке 9,9 млн ₽</t>
  </si>
  <si>
    <t># Оформление осей</t>
  </si>
  <si>
    <r>
      <t>ax.set_title</t>
    </r>
    <r>
      <rPr>
        <sz val="8"/>
        <color rgb="FFDCDCDC"/>
        <rFont val="Courier New"/>
        <family val="3"/>
        <charset val="204"/>
      </rPr>
      <t>(</t>
    </r>
    <r>
      <rPr>
        <sz val="8"/>
        <color rgb="FFCE9178"/>
        <rFont val="Courier New"/>
        <family val="3"/>
        <charset val="204"/>
      </rPr>
      <t>"Точка безубыточности"</t>
    </r>
    <r>
      <rPr>
        <sz val="8"/>
        <color rgb="FFDCDCDC"/>
        <rFont val="Courier New"/>
        <family val="3"/>
        <charset val="204"/>
      </rPr>
      <t>)</t>
    </r>
  </si>
  <si>
    <r>
      <t>ax.yaxis.set_major_formatter</t>
    </r>
    <r>
      <rPr>
        <sz val="8"/>
        <color rgb="FFDCDCDC"/>
        <rFont val="Courier New"/>
        <family val="3"/>
        <charset val="204"/>
      </rPr>
      <t>(</t>
    </r>
  </si>
  <si>
    <r>
      <t>    FuncFormatter</t>
    </r>
    <r>
      <rPr>
        <sz val="8"/>
        <color rgb="FFDCDCDC"/>
        <rFont val="Courier New"/>
        <family val="3"/>
        <charset val="204"/>
      </rPr>
      <t>(</t>
    </r>
    <r>
      <rPr>
        <sz val="8"/>
        <color rgb="FF69A5D7"/>
        <rFont val="Courier New"/>
        <family val="3"/>
        <charset val="204"/>
      </rPr>
      <t>lambda</t>
    </r>
    <r>
      <rPr>
        <sz val="8"/>
        <color rgb="FFD4D4D4"/>
        <rFont val="Courier New"/>
        <family val="3"/>
        <charset val="204"/>
      </rPr>
      <t xml:space="preserve"> y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_</t>
    </r>
    <r>
      <rPr>
        <sz val="8"/>
        <color rgb="FFDCDCDC"/>
        <rFont val="Courier New"/>
        <family val="3"/>
        <charset val="204"/>
      </rPr>
      <t>:</t>
    </r>
    <r>
      <rPr>
        <sz val="8"/>
        <color rgb="FFD4D4D4"/>
        <rFont val="Courier New"/>
        <family val="3"/>
        <charset val="204"/>
      </rPr>
      <t xml:space="preserve"> </t>
    </r>
    <r>
      <rPr>
        <sz val="8"/>
        <color rgb="FF69A5D7"/>
        <rFont val="Courier New"/>
        <family val="3"/>
        <charset val="204"/>
      </rPr>
      <t>f</t>
    </r>
    <r>
      <rPr>
        <sz val="8"/>
        <color rgb="FFCE9178"/>
        <rFont val="Courier New"/>
        <family val="3"/>
        <charset val="204"/>
      </rPr>
      <t>"</t>
    </r>
    <r>
      <rPr>
        <sz val="8"/>
        <color rgb="FFDCDCDC"/>
        <rFont val="Courier New"/>
        <family val="3"/>
        <charset val="204"/>
      </rPr>
      <t>{</t>
    </r>
    <r>
      <rPr>
        <sz val="8"/>
        <color rgb="FF4EC9B0"/>
        <rFont val="Courier New"/>
        <family val="3"/>
        <charset val="204"/>
      </rPr>
      <t>int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>y</t>
    </r>
    <r>
      <rPr>
        <sz val="8"/>
        <color rgb="FFDCDCDC"/>
        <rFont val="Courier New"/>
        <family val="3"/>
        <charset val="204"/>
      </rPr>
      <t>)</t>
    </r>
    <r>
      <rPr>
        <sz val="8"/>
        <color rgb="FFB5CEA8"/>
        <rFont val="Courier New"/>
        <family val="3"/>
        <charset val="204"/>
      </rPr>
      <t>:,</t>
    </r>
    <r>
      <rPr>
        <sz val="8"/>
        <color rgb="FFDCDCDC"/>
        <rFont val="Courier New"/>
        <family val="3"/>
        <charset val="204"/>
      </rPr>
      <t>}</t>
    </r>
    <r>
      <rPr>
        <sz val="8"/>
        <color rgb="FFCE9178"/>
        <rFont val="Courier New"/>
        <family val="3"/>
        <charset val="204"/>
      </rPr>
      <t>"</t>
    </r>
    <r>
      <rPr>
        <sz val="8"/>
        <color rgb="FFD4D4D4"/>
        <rFont val="Courier New"/>
        <family val="3"/>
        <charset val="204"/>
      </rPr>
      <t>.replace</t>
    </r>
    <r>
      <rPr>
        <sz val="8"/>
        <color rgb="FFDCDCDC"/>
        <rFont val="Courier New"/>
        <family val="3"/>
        <charset val="204"/>
      </rPr>
      <t>(</t>
    </r>
    <r>
      <rPr>
        <sz val="8"/>
        <color rgb="FFCE9178"/>
        <rFont val="Courier New"/>
        <family val="3"/>
        <charset val="204"/>
      </rPr>
      <t>","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</t>
    </r>
    <r>
      <rPr>
        <sz val="8"/>
        <color rgb="FFCE9178"/>
        <rFont val="Courier New"/>
        <family val="3"/>
        <charset val="204"/>
      </rPr>
      <t>" "</t>
    </r>
    <r>
      <rPr>
        <sz val="8"/>
        <color rgb="FFDCDCDC"/>
        <rFont val="Courier New"/>
        <family val="3"/>
        <charset val="204"/>
      </rPr>
      <t>))</t>
    </r>
  </si>
  <si>
    <t># Деления по осям</t>
  </si>
  <si>
    <r>
      <t xml:space="preserve">xticks = </t>
    </r>
    <r>
      <rPr>
        <sz val="8"/>
        <color rgb="FFDCDCAA"/>
        <rFont val="Courier New"/>
        <family val="3"/>
        <charset val="204"/>
      </rPr>
      <t>sorted</t>
    </r>
    <r>
      <rPr>
        <sz val="8"/>
        <color rgb="FFDCDCDC"/>
        <rFont val="Courier New"/>
        <family val="3"/>
        <charset val="204"/>
      </rPr>
      <t>(</t>
    </r>
    <r>
      <rPr>
        <sz val="8"/>
        <color rgb="FF4EC9B0"/>
        <rFont val="Courier New"/>
        <family val="3"/>
        <charset val="204"/>
      </rPr>
      <t>set</t>
    </r>
    <r>
      <rPr>
        <sz val="8"/>
        <color rgb="FFDCDCDC"/>
        <rFont val="Courier New"/>
        <family val="3"/>
        <charset val="204"/>
      </rPr>
      <t>(</t>
    </r>
    <r>
      <rPr>
        <sz val="8"/>
        <color rgb="FF4EC9B0"/>
        <rFont val="Courier New"/>
        <family val="3"/>
        <charset val="204"/>
      </rPr>
      <t>list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>ax.get_xticks</t>
    </r>
    <r>
      <rPr>
        <sz val="8"/>
        <color rgb="FFDCDCDC"/>
        <rFont val="Courier New"/>
        <family val="3"/>
        <charset val="204"/>
      </rPr>
      <t>())</t>
    </r>
    <r>
      <rPr>
        <sz val="8"/>
        <color rgb="FFD4D4D4"/>
        <rFont val="Courier New"/>
        <family val="3"/>
        <charset val="204"/>
      </rPr>
      <t xml:space="preserve"> + </t>
    </r>
    <r>
      <rPr>
        <sz val="8"/>
        <color rgb="FFDCDCDC"/>
        <rFont val="Courier New"/>
        <family val="3"/>
        <charset val="204"/>
      </rPr>
      <t>[</t>
    </r>
    <r>
      <rPr>
        <sz val="8"/>
        <color rgb="FFB5CEA8"/>
        <rFont val="Courier New"/>
        <family val="3"/>
        <charset val="204"/>
      </rPr>
      <t>1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</t>
    </r>
    <r>
      <rPr>
        <sz val="8"/>
        <color rgb="FFB5CEA8"/>
        <rFont val="Courier New"/>
        <family val="3"/>
        <charset val="204"/>
      </rPr>
      <t>2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</t>
    </r>
    <r>
      <rPr>
        <sz val="8"/>
        <color rgb="FFB5CEA8"/>
        <rFont val="Courier New"/>
        <family val="3"/>
        <charset val="204"/>
      </rPr>
      <t>3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</t>
    </r>
    <r>
      <rPr>
        <sz val="8"/>
        <color rgb="FFB5CEA8"/>
        <rFont val="Courier New"/>
        <family val="3"/>
        <charset val="204"/>
      </rPr>
      <t>4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</t>
    </r>
    <r>
      <rPr>
        <sz val="8"/>
        <color rgb="FFB5CEA8"/>
        <rFont val="Courier New"/>
        <family val="3"/>
        <charset val="204"/>
      </rPr>
      <t>5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</t>
    </r>
    <r>
      <rPr>
        <sz val="8"/>
        <color rgb="FF4EC9B0"/>
        <rFont val="Courier New"/>
        <family val="3"/>
        <charset val="204"/>
      </rPr>
      <t>int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>np.ceil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>Q_bep</t>
    </r>
    <r>
      <rPr>
        <sz val="8"/>
        <color rgb="FFDCDCDC"/>
        <rFont val="Courier New"/>
        <family val="3"/>
        <charset val="204"/>
      </rPr>
      <t>))]))</t>
    </r>
  </si>
  <si>
    <t># Оставляем только «круглые» деления по Y (без отдельного тика на R_bep)</t>
  </si>
  <si>
    <r>
      <t>yticks = ax.get_yticks</t>
    </r>
    <r>
      <rPr>
        <sz val="8"/>
        <color rgb="FFDCDCDC"/>
        <rFont val="Courier New"/>
        <family val="3"/>
        <charset val="204"/>
      </rPr>
      <t>()</t>
    </r>
  </si>
  <si>
    <t># --- Подпись значения выручки в точке BEP (чуть ниже 10 000 000) ---</t>
  </si>
  <si>
    <t># комбинированное преобразование: X в долях оси, Y в данных</t>
  </si>
  <si>
    <r>
      <t>transform = blended_transform_factory</t>
    </r>
    <r>
      <rPr>
        <sz val="8"/>
        <color rgb="FFDCDCDC"/>
        <rFont val="Courier New"/>
        <family val="3"/>
        <charset val="204"/>
      </rPr>
      <t>(</t>
    </r>
    <r>
      <rPr>
        <sz val="8"/>
        <color rgb="FFD4D4D4"/>
        <rFont val="Courier New"/>
        <family val="3"/>
        <charset val="204"/>
      </rPr>
      <t>ax.transAxes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ax.transData</t>
    </r>
    <r>
      <rPr>
        <sz val="8"/>
        <color rgb="FFDCDCDC"/>
        <rFont val="Courier New"/>
        <family val="3"/>
        <charset val="204"/>
      </rPr>
      <t>)</t>
    </r>
  </si>
  <si>
    <r>
      <t>ax.text</t>
    </r>
    <r>
      <rPr>
        <sz val="8"/>
        <color rgb="FFDCDCDC"/>
        <rFont val="Courier New"/>
        <family val="3"/>
        <charset val="204"/>
      </rPr>
      <t>(</t>
    </r>
  </si>
  <si>
    <r>
      <t xml:space="preserve">    </t>
    </r>
    <r>
      <rPr>
        <sz val="8"/>
        <color rgb="FFB5CEA8"/>
        <rFont val="Courier New"/>
        <family val="3"/>
        <charset val="204"/>
      </rPr>
      <t>0.01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                               </t>
    </r>
    <r>
      <rPr>
        <sz val="8"/>
        <color rgb="FF82B76C"/>
        <rFont val="Courier New"/>
        <family val="3"/>
        <charset val="204"/>
      </rPr>
      <t># немного правее оси Y (2% ширины)</t>
    </r>
  </si>
  <si>
    <r>
      <t xml:space="preserve">    </t>
    </r>
    <r>
      <rPr>
        <sz val="8"/>
        <color rgb="FFB5CEA8"/>
        <rFont val="Courier New"/>
        <family val="3"/>
        <charset val="204"/>
      </rPr>
      <t>9500000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                              </t>
    </r>
    <r>
      <rPr>
        <sz val="8"/>
        <color rgb="FF82B76C"/>
        <rFont val="Courier New"/>
        <family val="3"/>
        <charset val="204"/>
      </rPr>
      <t># по высоте — уровень BEP</t>
    </r>
  </si>
  <si>
    <r>
      <t xml:space="preserve">    </t>
    </r>
    <r>
      <rPr>
        <sz val="8"/>
        <color rgb="FF69A5D7"/>
        <rFont val="Courier New"/>
        <family val="3"/>
        <charset val="204"/>
      </rPr>
      <t>f</t>
    </r>
    <r>
      <rPr>
        <sz val="8"/>
        <color rgb="FFCE9178"/>
        <rFont val="Courier New"/>
        <family val="3"/>
        <charset val="204"/>
      </rPr>
      <t>"</t>
    </r>
    <r>
      <rPr>
        <sz val="8"/>
        <color rgb="FFDCDCDC"/>
        <rFont val="Courier New"/>
        <family val="3"/>
        <charset val="204"/>
      </rPr>
      <t>{</t>
    </r>
    <r>
      <rPr>
        <sz val="8"/>
        <color rgb="FFD4D4D4"/>
        <rFont val="Courier New"/>
        <family val="3"/>
        <charset val="204"/>
      </rPr>
      <t>R_bep</t>
    </r>
    <r>
      <rPr>
        <sz val="8"/>
        <color rgb="FFB5CEA8"/>
        <rFont val="Courier New"/>
        <family val="3"/>
        <charset val="204"/>
      </rPr>
      <t>:,.0f</t>
    </r>
    <r>
      <rPr>
        <sz val="8"/>
        <color rgb="FFDCDCDC"/>
        <rFont val="Courier New"/>
        <family val="3"/>
        <charset val="204"/>
      </rPr>
      <t>}</t>
    </r>
    <r>
      <rPr>
        <sz val="8"/>
        <color rgb="FFCE9178"/>
        <rFont val="Courier New"/>
        <family val="3"/>
        <charset val="204"/>
      </rPr>
      <t>"</t>
    </r>
    <r>
      <rPr>
        <sz val="8"/>
        <color rgb="FFD4D4D4"/>
        <rFont val="Courier New"/>
        <family val="3"/>
        <charset val="204"/>
      </rPr>
      <t>.replace</t>
    </r>
    <r>
      <rPr>
        <sz val="8"/>
        <color rgb="FFDCDCDC"/>
        <rFont val="Courier New"/>
        <family val="3"/>
        <charset val="204"/>
      </rPr>
      <t>(</t>
    </r>
    <r>
      <rPr>
        <sz val="8"/>
        <color rgb="FFCE9178"/>
        <rFont val="Courier New"/>
        <family val="3"/>
        <charset val="204"/>
      </rPr>
      <t>","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</t>
    </r>
    <r>
      <rPr>
        <sz val="8"/>
        <color rgb="FFCE9178"/>
        <rFont val="Courier New"/>
        <family val="3"/>
        <charset val="204"/>
      </rPr>
      <t>" "</t>
    </r>
    <r>
      <rPr>
        <sz val="8"/>
        <color rgb="FFDCDCDC"/>
        <rFont val="Courier New"/>
        <family val="3"/>
        <charset val="204"/>
      </rPr>
      <t>),</t>
    </r>
  </si>
  <si>
    <r>
      <t>    transform=transform</t>
    </r>
    <r>
      <rPr>
        <sz val="8"/>
        <color rgb="FFDCDCDC"/>
        <rFont val="Courier New"/>
        <family val="3"/>
        <charset val="204"/>
      </rPr>
      <t>,</t>
    </r>
  </si>
  <si>
    <r>
      <t>    ha=</t>
    </r>
    <r>
      <rPr>
        <sz val="8"/>
        <color rgb="FFCE9178"/>
        <rFont val="Courier New"/>
        <family val="3"/>
        <charset val="204"/>
      </rPr>
      <t>"left"</t>
    </r>
    <r>
      <rPr>
        <sz val="8"/>
        <color rgb="FFDCDCDC"/>
        <rFont val="Courier New"/>
        <family val="3"/>
        <charset val="204"/>
      </rPr>
      <t>,</t>
    </r>
  </si>
  <si>
    <r>
      <t>    va=</t>
    </r>
    <r>
      <rPr>
        <sz val="8"/>
        <color rgb="FFCE9178"/>
        <rFont val="Courier New"/>
        <family val="3"/>
        <charset val="204"/>
      </rPr>
      <t>"top"</t>
    </r>
    <r>
      <rPr>
        <sz val="8"/>
        <color rgb="FFDCDCDC"/>
        <rFont val="Courier New"/>
        <family val="3"/>
        <charset val="204"/>
      </rPr>
      <t>,</t>
    </r>
    <r>
      <rPr>
        <sz val="8"/>
        <color rgb="FFD4D4D4"/>
        <rFont val="Courier New"/>
        <family val="3"/>
        <charset val="204"/>
      </rPr>
      <t xml:space="preserve">                            </t>
    </r>
    <r>
      <rPr>
        <sz val="8"/>
        <color rgb="FF82B76C"/>
        <rFont val="Courier New"/>
        <family val="3"/>
        <charset val="204"/>
      </rPr>
      <t># верх текста на уровне R_bep → сам текст чуть ниже</t>
    </r>
  </si>
  <si>
    <r>
      <t>    fontsize=</t>
    </r>
    <r>
      <rPr>
        <sz val="8"/>
        <color rgb="FFB5CEA8"/>
        <rFont val="Courier New"/>
        <family val="3"/>
        <charset val="204"/>
      </rPr>
      <t>11</t>
    </r>
    <r>
      <rPr>
        <sz val="8"/>
        <color rgb="FFDCDCDC"/>
        <rFont val="Courier New"/>
        <family val="3"/>
        <charset val="204"/>
      </rPr>
      <t>,</t>
    </r>
  </si>
  <si>
    <t>аккредитация как айти компания</t>
  </si>
  <si>
    <t>Налог на прибыль(УСН 3%)</t>
  </si>
  <si>
    <t>https://www.ocenka-sp.ru/stavka-diskontirovaniya-2025</t>
  </si>
  <si>
    <t>год</t>
  </si>
  <si>
    <t>Ставка диск + 1</t>
  </si>
  <si>
    <t>DCFt​</t>
  </si>
  <si>
    <t>NPV</t>
  </si>
  <si>
    <t>Год</t>
  </si>
  <si>
    <t>Налог по УСН - 3% на доход</t>
  </si>
  <si>
    <t>Расчеты:</t>
  </si>
  <si>
    <t>Дисконтированные денежные потоки, инвестиции = 3 млн</t>
  </si>
  <si>
    <t>Срок окупаемости, лет</t>
  </si>
  <si>
    <t>Номинальный</t>
  </si>
  <si>
    <t>Дисконтированный</t>
  </si>
  <si>
    <t>Итого:</t>
  </si>
  <si>
    <t>PV</t>
  </si>
  <si>
    <t>PI</t>
  </si>
  <si>
    <t>Среднегодовая прибыль</t>
  </si>
  <si>
    <t>Каждый 1 рубль стартовых инвестиций приносит в среднем около 1,44 рубля прибыли в год</t>
  </si>
  <si>
    <t>В среднем за год проект генерирует прибыль, равную примерно 143,5 % от первоначально вложенного капитала</t>
  </si>
  <si>
    <t>CFt</t>
  </si>
  <si>
    <t>Цена, тыс.руб/ед</t>
  </si>
  <si>
    <t>Объем выпуска, ед</t>
  </si>
  <si>
    <t>Постоянные затраты, тыс. руб</t>
  </si>
  <si>
    <t>Переменные затраты на 1 единицу, тыс. руб/ед</t>
  </si>
  <si>
    <t>Затраты, тыс. руб</t>
  </si>
  <si>
    <t>Прибыль, тыс. руб.</t>
  </si>
  <si>
    <t>Значения</t>
  </si>
  <si>
    <t>Основные покахатели проекта, графическое изображение, на 2028-2029 год</t>
  </si>
  <si>
    <t>Выручка, тыс. руб</t>
  </si>
  <si>
    <t>Анализ чувствительности выполнен для 4-го года проекта (2028–2029), когда продукт выходит на устойчивый операционный режим</t>
  </si>
  <si>
    <t>Чистая приведённая стоимость проекта при ставке дисконтирования 30 % составляет ≈ 293 тыс. руб. Показатель положительный, то есть при заданной стоимости капитала проект создаёт небольшую дополнительную стоимость для инвестора и формально может рассматриваться как экономически целесообразный. При этом запас по NPV относительно невелик, что говорит о чувствительности проекта к изменениям ключевых параметров.</t>
  </si>
  <si>
    <t>Номинальный срок окупаемости составляет около 3,5 лет, дисконтированный — около 3,9 лет. Это означает, что с учётом стоимости денег во времени вложенные средства возвращаются практически к концу расчётного горизонта (четвёртого года реализации проекта).</t>
  </si>
  <si>
    <t>Индекс прибыльности PI = 1,10. Значение выше 1 означает, что проект генерирует приведённые денежные потоки, превышающие объём стартовых вложений: на каждый 1 рубль инвестиций приходится примерно 1,10 рубля приведённых притоков (то есть порядка 0,10 руб. «сверху» на рубль вложенного капитала).</t>
  </si>
  <si>
    <t>Внутренняя норма доходности по проекту составляет ≈ 33 % годовых. Это чуть выше требуемой инвестором ставки доходности 30 %, то есть проект проходит по критерию IRR, но с относительно небольшим запасом прочности по доходности.</t>
  </si>
  <si>
    <t>В упрощённом варианте расчёта предполагается, что операционная прибыль после налога (NOPAT) приблизительно равна чистой прибыли последнего года, а ставка 30 % отражает стоимость капитала для инвестора. Вложенный капитал принимается равным первоначальным инвестициям равен 3 млн руб.
При таких допущениях экономическая добавленная стоимость (EVA) в последний год расчётного периода составляет около 7,56 млн руб. Это означает, что прибыль проекта в завершающем году существенно превышает «нормальную» требуемую доходность в 30 % годовых на вложенные 3 млн руб., и проект создаёт значительный объём дополнительной стоимости для инвестора.</t>
  </si>
  <si>
    <t>синяя – изменение среднего чека (цены);
оранжевая – изменение переменных затрат на единицу (стоимость закупки в чеке);
зелёная – изменение количества чеков (объёма продаж);
красная – бюджет инвестиций</t>
  </si>
  <si>
    <t>Код питон для чувствительности прибыли:</t>
  </si>
  <si>
    <t>import numpy as np
import matplotlib.pyplot as plt
# --- ВХОДНЫЕ ДАННЫЕ (ЗАПОЛНИ СВОИМИ ЦИФРАМИ ЗА 4-Й ГОД) ---
# Цена (средний чек), тыс. руб./ед.
P0 = 3333.33
# Объём продаж, ед. (кол-во контрактов в 4-м году)
Q0 = 6                # ПОДСТАВЬ СВОЁ ЗНАЧЕНИЕ
# Переменные затраты на 1 ед., тыс. руб./ед.
V0 = 458.93            # ПОДСТАВЬ: переменные за год / Q0
# Постоянные затраты за год, тыс. руб.
F0 = 8185.67           # ПОДСТАВЬ сумму постоянных затрат за 4-й год
# Базовая прибыль за год
profit_base = P0 * Q0 - V0 * Q0 - F0
print(f"Базовая прибыль за год: {profit_base:.2f} тыс. руб.")
# --- МАССИВ ОТКЛОНЕНИЙ ПО ОСИ X ---
# Проценты изменения: -30%, -20%, -10%, 0%, +10%, +20%, +30%
k = np.array([-0.3, -0.2, -0.1, 0.0, 0.1, 0.2, 0.3])
labels = ['-30%', '-20%', '-10%', '0%', '10%', '20%', '30%']
# --- РАСЧЁТ ЧИСТОЙ ПРИБЫЛИ ПРИ ИЗМЕНЕНИИ ФАКТОРОВ ---
# 1. Средний чек (меняем только цену)
profit_price = P0 * (1 + k) * Q0 - V0 * Q0 - F0
# 2. Стоимость закупа в чеке (меняем только переменные затраты на 1 ед.)
profit_var = P0 * Q0 - V0 * (1 + k) * Q0 - F0
# 3. Количество чеков в месяц (меняем объем продаж)
profit_qty = (P0 - V0) * Q0 * (1 + k) - F0
# 4. Бюджет инвестиций (для простоты считаем, что на прибыль года не влияет)
#    → линия просто на уровне базовой годовой прибыли
profit_inv = np.full_like(k, profit_base)
# --- ПОСТРОЕНИЕ ГРАФИКА ---
fig, ax = plt.subplots(figsize=(7, 5))
ax.plot(k * 100, profit_price, label='Средний чек')
ax.plot(k * 100, profit_var, label='Стоимость закупа в чеке')
ax.plot(k * 100, profit_qty, label='Количество чеков в месяц')
ax.plot(k * 100, profit_inv, label='Бюджет инвестиций')
ax.set_title('Анализ чувствительности \nчистой прибыли, тыс. руб.', fontsize=12)
ax.set_xlabel('Изменение параметра, %')
ax.set_ylabel('Чистая прибыль, тыс. руб.')
ax.set_xticks(k * 100)
ax.set_xticklabels(labels)
ax.axhline(0, color='gray', linewidth=0.8)
ax.grid(True, linewidth=0.4, alpha=0.5)
ax.legend(loc='best', fontsize=8)
all_profits = np.concatenate([profit_price, profit_var, profit_qty, profit_inv])
ymax = all_profits.max() * 1.05  # небольшой запас сверху
ax.set_ylim(0, ymax)            # нижняя граница ровно 0
# или короче:
# plt.ylim(bottom=0)
plt.tight_layout()
plt.show()</t>
  </si>
  <si>
    <t>Код питон для чувствительности irr:</t>
  </si>
  <si>
    <t>import numpy as np
import matplotlib.pyplot as plt
# ---- ФУНКЦИИ NPV и IRR ----
def npv(rate, cashflows):
    """NPV для заданной ставки rate и массива cashflows[0..n]."""
    t = np.arange(len(cashflows))
    return np.sum(cashflows / (1 + rate) ** t)
def irr(cashflows, tol=1e-6, max_iter=100):
    """
    Простая реализация IRR методом бисекции.
    Предполагаем, что IRR лежит в диапазоне [-0.99; 10] (от -99% до 1000%).
    """
    low, high = -0.99, 10.0
    f_low = npv(low, cashflows)
    f_high = npv(high, cashflows)
    # проверяем, что есть смена знака NPV на концах отрезка
    if f_low * f_high &gt; 0:
        raise ValueError("Не удалось найти интервал, где NPV меняет знак.")
    for _ in range(max_iter):
        mid = (low + high) / 2
        f_mid = npv(mid, cashflows)
        if abs(f_mid) &lt; tol:
            return mid
        if f_low * f_mid &lt; 0:
            high = mid
            f_high = f_mid
        else:
            low = mid
            f_low = f_mid
    return mid  # приближённое значение
# --- БАЗОВЫЕ ДЕНЕЖНЫЕ ПОТОКИ, тыс. руб. ---
# CF0 – инвестиции, CF1..CF4 – годовые потоки проекта
base_cf = np.array([-3000.0, -2694.05, 2383.81, 2179.87, 8460.73])
# Проверим базовый IRR
base_irr = irr(base_cf) * 100
print(f"Базовый IRR: {base_irr:.2f} %")
# --- ШАГИ ИЗМЕНЕНИЙ ПАРАМЕТРОВ ---
# -30%, -20%, -10%, 0%, +10%, +20%, +30%
k = np.array([-0.3, -0.2, -0.1, 0.0, 0.1, 0.2, 0.3])
x_labels = ['-30%', '-20%', '-10%', '0%', '10%', '20%', '30%']
irr_price = []
irr_cost  = []
irr_qty   = []
irr_inv   = []
for delta in k:
    # 1. Средний чек: масштабируем все операционные потоки (t &gt;= 1)
    cf_price = base_cf.copy()
    cf_price[1:] = cf_price[1:] * (1 + delta)
    irr_price.append(irr(cf_price) * 100)
    # 2. Стоимость закупа в чеке:
    #    рост затрат (delta &gt; 0) уменьшает операционные потоки,
    #    падение затрат (delta &lt; 0) – увеличивает.
    #    Коэффициент 0.5 задаёт "силу влияния" (можно подправить).
    cf_cost = base_cf.copy()
    cf_cost[1:] = cf_cost[1:] * (1 - 0.5 * delta)
    irr_cost.append(irr(cf_cost) * 100)
    # 3. Количество чеков в месяц:
    #    меняем только положительные потоки (годы 2–4) как прокси объёма продаж
    cf_qty = base_cf.copy()
    cf_qty[2:] = cf_qty[2:] * (1 + delta)
    irr_qty.append(irr(cf_qty) * 100)
    # 4. Бюджет инвестиций:
    #    меняем только первоначальные инвестиции CF0
    cf_inv = base_cf.copy()
    cf_inv[0] = base_cf[0] * (1 + delta)
    irr_inv.append(irr(cf_inv) * 100)
irr_price = np.array(irr_price)
irr_cost  = np.array(irr_cost)
irr_qty   = np.array(irr_qty)
irr_inv   = np.array(irr_inv)
# --- ПОСТРОЕНИЕ ГРАФИКА ---
fig, ax = plt.subplots(figsize=(7, 5))
ax.plot(k * 100, irr_price, label='Средний чек')
ax.plot(k * 100, irr_cost, label='Стоимость закупа в чеке')
ax.plot(k * 100, irr_qty, label='Количество чеков в месяц')
ax.plot(k * 100, irr_inv, label='Бюджет инвестиций')
ax.set_title('Анализ чувствительности IRR, % год.', fontsize=12)
ax.set_xlabel('Изменение параметра, %')
ax.set_ylabel('IRR, % год.')
ax.set_xticks(k * 100)
ax.set_xticklabels(x_labels)
ax.axhline(0, color='gray', linewidth=0.8)
ax.grid(True, linewidth=0.4, alpha=0.5)
ax.legend(loc='best', fontsize=8)
# найдём максимальный IRR, чтобы задать верхнюю границу
all_irr = np.concatenate([irr_price, irr_cost, irr_qty, irr_inv])
y_max = all_irr.max() * 1.05
ax.set_ylim(0, y_max)      # нижняя граница = 0 → ось X на уровне y=0
# ax.margins(y=0)  # опционально: убрать лишние отступы по Y
plt.tight_layout()
plt.show()</t>
  </si>
  <si>
    <t>График рассчитан за первые 1,5 года после выхода на рынок.</t>
  </si>
  <si>
    <t>График чувствительности IRR показывает, что доходность проекта сильнее всего зависит от выручки: и рост среднего чека, и увеличение количества чеков заметно поднимают IRR, а их снижение так же заметно его просаживает. Ухудшение условий по затратам (стоимость закупки и объём первоначальных инвестиций) снижает IRR, но менее резко, чем изменения в выручке. Ключевые драйверы эффективности проекта – цена и объём продаж, тогда как рост затрат "съедает" часть доходности, но в рассматриваемом диапазоне не делает проект убыточным.</t>
  </si>
  <si>
    <t>График показывает, что прибыль проекта сильнее всего зависит от выручки: и средний чек, и количество чеков дают почти линейный и очень заметный рост или падение результата, то есть любая просадка по цене или объёму быстро "съедает" прибыль. Стоимость закупки влияет слабее: рост переменных затрат ухудшает результат, но не так резко, как падение выручки.</t>
  </si>
  <si>
    <t>Все расчеты сделаны по реалистичному сценарию.</t>
  </si>
  <si>
    <t>Вероятность</t>
  </si>
  <si>
    <t>Балл</t>
  </si>
  <si>
    <t>Почти неизбежно</t>
  </si>
  <si>
    <t>Вероятно</t>
  </si>
  <si>
    <t>Возможно</t>
  </si>
  <si>
    <t>Маловероятно</t>
  </si>
  <si>
    <t>Редко</t>
  </si>
  <si>
    <t>Влияние</t>
  </si>
  <si>
    <t>Критическое</t>
  </si>
  <si>
    <t>Высокое</t>
  </si>
  <si>
    <t>Среднее</t>
  </si>
  <si>
    <t>Небольшое</t>
  </si>
  <si>
    <t>Низкое</t>
  </si>
  <si>
    <t>Таблица с расчётом всех рисков</t>
  </si>
  <si>
    <t>Риск</t>
  </si>
  <si>
    <t>Мелкие баги и доработки после релизов</t>
  </si>
  <si>
    <t>Регулярная корректировка маркетинга</t>
  </si>
  <si>
    <t>Сдвиги задач из-за приоритетов</t>
  </si>
  <si>
    <t>Ужесточение требований КИИ/ИБ</t>
  </si>
  <si>
    <t>Геополитика / оборудование и каналы</t>
  </si>
  <si>
    <t>Нагрузка команды в пиковые месяцы</t>
  </si>
  <si>
    <t>Неэффективность маркетинга / несогласованная презентация</t>
  </si>
  <si>
    <t>Недостаток активности партнёров / провал адаптации решений</t>
  </si>
  <si>
    <t>Недостижение планов, задержки пилотов, ИБ-доступ</t>
  </si>
  <si>
    <t>Потеря тендера / срыв пилота на референсе</t>
  </si>
  <si>
    <t>Ошибки в отчётности / публикации</t>
  </si>
  <si>
    <t>Сбои инфраструктуры разработки</t>
  </si>
  <si>
    <t>Перегрузка при пилотах / завышенные ожидания</t>
  </si>
  <si>
    <t>Задержка НИОКР / финансирование / конверсия</t>
  </si>
  <si>
    <t>Отказ / задержка по включению в реестры КИИ</t>
  </si>
  <si>
    <t>Смена контакта у заказчика / недоступность портала</t>
  </si>
  <si>
    <t>Конфликт у интегратора / замена спикера</t>
  </si>
  <si>
    <t>Отзыв/модернизация оборудования</t>
  </si>
  <si>
    <t>Изменения нормативки / негативный отзыв</t>
  </si>
  <si>
    <t>Недоступность офиса / документы</t>
  </si>
  <si>
    <t>Потеря небольшой партии / отказ от мероприятия</t>
  </si>
  <si>
    <t>Отсутствие сотрудника при замещении</t>
  </si>
  <si>
    <t>Уход нескольких ключевых сотрудников</t>
  </si>
  <si>
    <t>Радикальная смена курса (закрытие рынка)</t>
  </si>
  <si>
    <t>Инцидент ИБ / утечка и дальнейшие разбирательства</t>
  </si>
  <si>
    <t>Топ-10 рисков с наибольшим баллом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</si>
</sst>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.00\ &quot;₽&quot;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8"/>
      <color rgb="FFD4D4D4"/>
      <name val="Courier New"/>
      <family val="3"/>
      <charset val="204"/>
    </font>
    <font>
      <sz val="8"/>
      <color rgb="FFB5CEA8"/>
      <name val="Courier New"/>
      <family val="3"/>
      <charset val="204"/>
    </font>
    <font>
      <sz val="8"/>
      <color rgb="FF82B76C"/>
      <name val="Courier New"/>
      <family val="3"/>
      <charset val="204"/>
    </font>
    <font>
      <sz val="8"/>
      <color rgb="FFC99CC6"/>
      <name val="Courier New"/>
      <family val="3"/>
      <charset val="204"/>
    </font>
    <font>
      <sz val="8"/>
      <color rgb="FFDCDCAA"/>
      <name val="Courier New"/>
      <family val="3"/>
      <charset val="204"/>
    </font>
    <font>
      <sz val="8"/>
      <color rgb="FFDCDCDC"/>
      <name val="Courier New"/>
      <family val="3"/>
      <charset val="204"/>
    </font>
    <font>
      <sz val="8"/>
      <color rgb="FF4EC9B0"/>
      <name val="Courier New"/>
      <family val="3"/>
      <charset val="204"/>
    </font>
    <font>
      <sz val="8"/>
      <color rgb="FFCE9178"/>
      <name val="Courier New"/>
      <family val="3"/>
      <charset val="204"/>
    </font>
    <font>
      <sz val="8"/>
      <color rgb="FF69A5D7"/>
      <name val="Courier New"/>
      <family val="3"/>
      <charset val="204"/>
    </font>
    <font>
      <sz val="8"/>
      <color rgb="FF569CD6"/>
      <name val="Courier New"/>
      <family val="3"/>
      <charset val="204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282A2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0F0F2"/>
        <bgColor indexed="64"/>
      </patternFill>
    </fill>
    <fill>
      <patternFill patternType="solid">
        <fgColor rgb="FFEBE9FF"/>
        <bgColor indexed="64"/>
      </patternFill>
    </fill>
    <fill>
      <patternFill patternType="solid">
        <fgColor rgb="FFBFF2D3"/>
        <bgColor indexed="64"/>
      </patternFill>
    </fill>
    <fill>
      <patternFill patternType="solid">
        <fgColor rgb="FF64E08B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ED0D0"/>
        <bgColor indexed="64"/>
      </patternFill>
    </fill>
    <fill>
      <patternFill patternType="solid">
        <fgColor rgb="FF9E97E7"/>
        <bgColor indexed="64"/>
      </patternFill>
    </fill>
    <fill>
      <patternFill patternType="solid">
        <fgColor rgb="FFCDC8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19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center" vertical="top" wrapText="1"/>
    </xf>
    <xf numFmtId="4" fontId="0" fillId="2" borderId="1" xfId="0" applyNumberFormat="1" applyFill="1" applyBorder="1" applyAlignment="1">
      <alignment horizontal="center" vertical="top" wrapText="1"/>
    </xf>
    <xf numFmtId="0" fontId="0" fillId="4" borderId="0" xfId="0" applyFill="1"/>
    <xf numFmtId="0" fontId="0" fillId="3" borderId="0" xfId="0" applyFill="1"/>
    <xf numFmtId="0" fontId="0" fillId="5" borderId="0" xfId="0" applyFill="1"/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 vertical="top" wrapText="1"/>
    </xf>
    <xf numFmtId="0" fontId="0" fillId="0" borderId="0" xfId="0" applyBorder="1" applyAlignment="1">
      <alignment horizontal="right" wrapText="1"/>
    </xf>
    <xf numFmtId="4" fontId="0" fillId="0" borderId="0" xfId="0" applyNumberFormat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49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0" fillId="0" borderId="7" xfId="0" applyFill="1" applyBorder="1" applyAlignment="1">
      <alignment horizontal="left" vertical="top" wrapText="1"/>
    </xf>
    <xf numFmtId="0" fontId="6" fillId="0" borderId="0" xfId="0" applyFont="1"/>
    <xf numFmtId="0" fontId="9" fillId="4" borderId="0" xfId="0" applyFont="1" applyFill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4" fontId="0" fillId="0" borderId="2" xfId="0" applyNumberFormat="1" applyBorder="1" applyAlignment="1">
      <alignment horizontal="center" vertical="top" wrapText="1"/>
    </xf>
    <xf numFmtId="0" fontId="0" fillId="0" borderId="0" xfId="0" applyFill="1" applyBorder="1"/>
    <xf numFmtId="0" fontId="0" fillId="0" borderId="0" xfId="0" applyBorder="1"/>
    <xf numFmtId="0" fontId="0" fillId="0" borderId="8" xfId="0" applyBorder="1"/>
    <xf numFmtId="0" fontId="8" fillId="6" borderId="0" xfId="0" applyFont="1" applyFill="1"/>
    <xf numFmtId="0" fontId="0" fillId="6" borderId="0" xfId="0" applyFill="1"/>
    <xf numFmtId="4" fontId="0" fillId="4" borderId="1" xfId="0" applyNumberFormat="1" applyFill="1" applyBorder="1" applyAlignment="1">
      <alignment horizontal="center" vertical="top" wrapText="1"/>
    </xf>
    <xf numFmtId="4" fontId="0" fillId="3" borderId="1" xfId="0" applyNumberFormat="1" applyFill="1" applyBorder="1" applyAlignment="1">
      <alignment horizontal="center" vertical="top" wrapText="1"/>
    </xf>
    <xf numFmtId="4" fontId="0" fillId="5" borderId="1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/>
    <xf numFmtId="0" fontId="10" fillId="0" borderId="0" xfId="0" applyFont="1"/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4" fontId="0" fillId="0" borderId="0" xfId="0" applyNumberFormat="1" applyFill="1" applyBorder="1" applyAlignment="1">
      <alignment horizontal="center" vertical="top" wrapText="1"/>
    </xf>
    <xf numFmtId="4" fontId="6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7" borderId="0" xfId="0" applyFill="1" applyAlignment="1">
      <alignment vertical="center"/>
    </xf>
    <xf numFmtId="0" fontId="13" fillId="0" borderId="0" xfId="0" applyFont="1" applyAlignment="1">
      <alignment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2" fontId="3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0" fillId="0" borderId="0" xfId="0" applyFill="1"/>
    <xf numFmtId="49" fontId="0" fillId="0" borderId="0" xfId="0" applyNumberForma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22" fillId="0" borderId="0" xfId="0" applyFont="1"/>
    <xf numFmtId="164" fontId="22" fillId="0" borderId="0" xfId="0" applyNumberFormat="1" applyFont="1"/>
    <xf numFmtId="0" fontId="0" fillId="0" borderId="0" xfId="0" applyBorder="1" applyAlignment="1">
      <alignment horizontal="center" vertical="top"/>
    </xf>
    <xf numFmtId="0" fontId="0" fillId="8" borderId="1" xfId="0" applyFill="1" applyBorder="1" applyAlignment="1">
      <alignment horizontal="center" vertical="top"/>
    </xf>
    <xf numFmtId="0" fontId="23" fillId="0" borderId="0" xfId="0" applyFont="1"/>
    <xf numFmtId="0" fontId="1" fillId="0" borderId="0" xfId="0" applyFont="1"/>
    <xf numFmtId="1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1" fontId="0" fillId="9" borderId="1" xfId="0" applyNumberFormat="1" applyFill="1" applyBorder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top" wrapText="1"/>
    </xf>
    <xf numFmtId="1" fontId="0" fillId="9" borderId="1" xfId="0" applyNumberFormat="1" applyFill="1" applyBorder="1" applyAlignment="1">
      <alignment horizontal="center" vertical="top" wrapText="1"/>
    </xf>
    <xf numFmtId="1" fontId="0" fillId="0" borderId="5" xfId="0" applyNumberFormat="1" applyBorder="1" applyAlignment="1">
      <alignment horizontal="center" vertical="top" wrapText="1"/>
    </xf>
    <xf numFmtId="1" fontId="0" fillId="9" borderId="5" xfId="0" applyNumberFormat="1" applyFill="1" applyBorder="1" applyAlignment="1">
      <alignment horizontal="center" vertical="top" wrapText="1"/>
    </xf>
    <xf numFmtId="1" fontId="0" fillId="0" borderId="0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" fontId="0" fillId="10" borderId="1" xfId="0" applyNumberForma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4" fontId="0" fillId="9" borderId="1" xfId="0" applyNumberFormat="1" applyFill="1" applyBorder="1" applyAlignment="1">
      <alignment horizontal="center" vertical="center" wrapText="1"/>
    </xf>
    <xf numFmtId="4" fontId="0" fillId="10" borderId="1" xfId="0" applyNumberForma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 wrapText="1"/>
    </xf>
    <xf numFmtId="0" fontId="0" fillId="10" borderId="0" xfId="0" applyFill="1"/>
    <xf numFmtId="4" fontId="4" fillId="2" borderId="1" xfId="0" applyNumberFormat="1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horizontal="center"/>
    </xf>
    <xf numFmtId="0" fontId="4" fillId="11" borderId="1" xfId="0" applyFont="1" applyFill="1" applyBorder="1"/>
    <xf numFmtId="4" fontId="4" fillId="11" borderId="1" xfId="0" applyNumberFormat="1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horizontal="center" vertical="top"/>
    </xf>
    <xf numFmtId="49" fontId="4" fillId="12" borderId="1" xfId="0" applyNumberFormat="1" applyFont="1" applyFill="1" applyBorder="1" applyAlignment="1">
      <alignment horizontal="center"/>
    </xf>
    <xf numFmtId="0" fontId="4" fillId="12" borderId="1" xfId="0" applyFont="1" applyFill="1" applyBorder="1"/>
    <xf numFmtId="4" fontId="1" fillId="1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" fontId="0" fillId="8" borderId="1" xfId="0" applyNumberForma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49" fontId="0" fillId="0" borderId="0" xfId="0" applyNumberFormat="1" applyFill="1" applyBorder="1" applyAlignment="1">
      <alignment wrapText="1"/>
    </xf>
    <xf numFmtId="0" fontId="24" fillId="0" borderId="0" xfId="0" applyFont="1"/>
    <xf numFmtId="2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0" fillId="0" borderId="1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1" xfId="0" applyBorder="1" applyAlignment="1">
      <alignment horizontal="right" wrapText="1"/>
    </xf>
    <xf numFmtId="49" fontId="0" fillId="0" borderId="0" xfId="0" applyNumberFormat="1" applyAlignment="1">
      <alignment horizontal="left" wrapText="1"/>
    </xf>
    <xf numFmtId="0" fontId="0" fillId="10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top"/>
    </xf>
    <xf numFmtId="49" fontId="0" fillId="0" borderId="12" xfId="0" applyNumberFormat="1" applyBorder="1" applyAlignment="1">
      <alignment horizontal="center" wrapText="1"/>
    </xf>
    <xf numFmtId="49" fontId="0" fillId="13" borderId="1" xfId="0" applyNumberFormat="1" applyFill="1" applyBorder="1" applyAlignment="1">
      <alignment wrapText="1"/>
    </xf>
    <xf numFmtId="2" fontId="0" fillId="13" borderId="1" xfId="0" applyNumberFormat="1" applyFill="1" applyBorder="1" applyAlignment="1">
      <alignment horizontal="center" vertical="center"/>
    </xf>
    <xf numFmtId="49" fontId="0" fillId="14" borderId="1" xfId="0" applyNumberFormat="1" applyFill="1" applyBorder="1" applyAlignment="1">
      <alignment horizontal="center" vertical="center" wrapText="1"/>
    </xf>
    <xf numFmtId="49" fontId="0" fillId="14" borderId="1" xfId="0" applyNumberFormat="1" applyFill="1" applyBorder="1" applyAlignment="1">
      <alignment wrapText="1"/>
    </xf>
    <xf numFmtId="0" fontId="4" fillId="0" borderId="12" xfId="0" applyFont="1" applyBorder="1" applyAlignment="1">
      <alignment horizontal="left" vertical="top"/>
    </xf>
    <xf numFmtId="49" fontId="4" fillId="0" borderId="12" xfId="0" applyNumberFormat="1" applyFont="1" applyFill="1" applyBorder="1" applyAlignment="1">
      <alignment horizontal="left" vertical="top" wrapText="1"/>
    </xf>
    <xf numFmtId="0" fontId="0" fillId="15" borderId="0" xfId="0" applyFill="1"/>
    <xf numFmtId="0" fontId="0" fillId="15" borderId="0" xfId="0" applyFill="1" applyAlignment="1">
      <alignment horizontal="center" vertical="center"/>
    </xf>
    <xf numFmtId="49" fontId="0" fillId="5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/>
    <xf numFmtId="165" fontId="0" fillId="5" borderId="0" xfId="0" applyNumberFormat="1" applyFill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13" xfId="0" applyNumberFormat="1" applyFill="1" applyBorder="1" applyAlignment="1">
      <alignment horizontal="center" wrapText="1"/>
    </xf>
    <xf numFmtId="9" fontId="0" fillId="5" borderId="0" xfId="0" applyNumberFormat="1" applyFill="1" applyAlignment="1">
      <alignment horizontal="center" vertical="center"/>
    </xf>
    <xf numFmtId="49" fontId="0" fillId="15" borderId="0" xfId="0" applyNumberFormat="1" applyFill="1" applyBorder="1" applyAlignment="1">
      <alignment wrapText="1"/>
    </xf>
    <xf numFmtId="49" fontId="0" fillId="15" borderId="0" xfId="0" applyNumberFormat="1" applyFill="1" applyBorder="1" applyAlignment="1">
      <alignment horizontal="left" vertical="top" wrapText="1"/>
    </xf>
    <xf numFmtId="0" fontId="0" fillId="15" borderId="0" xfId="0" applyFill="1" applyAlignment="1">
      <alignment horizontal="left" vertical="top"/>
    </xf>
    <xf numFmtId="2" fontId="0" fillId="5" borderId="0" xfId="0" applyNumberFormat="1" applyFill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165" fontId="0" fillId="13" borderId="1" xfId="0" applyNumberForma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2" borderId="0" xfId="0" applyNumberFormat="1" applyFill="1" applyAlignment="1">
      <alignment horizontal="left" vertical="top" wrapText="1"/>
    </xf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vertical="top" wrapText="1"/>
    </xf>
    <xf numFmtId="49" fontId="0" fillId="0" borderId="0" xfId="0" applyNumberFormat="1" applyFill="1" applyAlignment="1">
      <alignment horizontal="left" vertical="top" wrapText="1"/>
    </xf>
    <xf numFmtId="0" fontId="0" fillId="0" borderId="0" xfId="0" applyAlignment="1">
      <alignment wrapText="1"/>
    </xf>
    <xf numFmtId="0" fontId="25" fillId="0" borderId="0" xfId="0" applyFont="1" applyAlignment="1">
      <alignment wrapText="1"/>
    </xf>
    <xf numFmtId="0" fontId="26" fillId="0" borderId="0" xfId="0" applyFont="1"/>
    <xf numFmtId="0" fontId="4" fillId="2" borderId="0" xfId="0" applyFont="1" applyFill="1" applyAlignment="1">
      <alignment horizontal="center"/>
    </xf>
    <xf numFmtId="0" fontId="0" fillId="16" borderId="1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 wrapText="1"/>
    </xf>
    <xf numFmtId="0" fontId="0" fillId="20" borderId="1" xfId="0" applyFill="1" applyBorder="1" applyAlignment="1">
      <alignment horizontal="center" vertical="center" wrapText="1"/>
    </xf>
    <xf numFmtId="0" fontId="0" fillId="21" borderId="1" xfId="0" applyFill="1" applyBorder="1" applyAlignment="1">
      <alignment horizontal="center" vertical="center" wrapText="1"/>
    </xf>
    <xf numFmtId="0" fontId="0" fillId="22" borderId="1" xfId="0" applyFill="1" applyBorder="1" applyAlignment="1">
      <alignment horizontal="center" vertical="center" wrapText="1"/>
    </xf>
    <xf numFmtId="0" fontId="0" fillId="23" borderId="1" xfId="0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CDC8FF"/>
      <color rgb="FF9E97E7"/>
      <color rgb="FFFED0D0"/>
      <color rgb="FFFF8989"/>
      <color rgb="FF64E08B"/>
      <color rgb="FFBFF2D3"/>
      <color rgb="FFEBE9FF"/>
      <color rgb="FFF0F0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135577</xdr:colOff>
      <xdr:row>26</xdr:row>
      <xdr:rowOff>153389</xdr:rowOff>
    </xdr:from>
    <xdr:to>
      <xdr:col>7</xdr:col>
      <xdr:colOff>2573380</xdr:colOff>
      <xdr:row>46</xdr:row>
      <xdr:rowOff>27710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3DCD032-E6CB-4A9D-AC13-1EA2B5F7D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4813" y="5016334"/>
          <a:ext cx="7730240" cy="5457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110837</xdr:colOff>
      <xdr:row>48</xdr:row>
      <xdr:rowOff>83128</xdr:rowOff>
    </xdr:from>
    <xdr:to>
      <xdr:col>7</xdr:col>
      <xdr:colOff>2640316</xdr:colOff>
      <xdr:row>66</xdr:row>
      <xdr:rowOff>35626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D1C5C19-BD67-4997-86DE-A752D136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0073" y="10889673"/>
          <a:ext cx="7821916" cy="548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181791</xdr:colOff>
      <xdr:row>30</xdr:row>
      <xdr:rowOff>137160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D411467-8886-4B34-8FDB-2A41AACB9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68541" cy="5852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415635</xdr:colOff>
      <xdr:row>0</xdr:row>
      <xdr:rowOff>55417</xdr:rowOff>
    </xdr:from>
    <xdr:to>
      <xdr:col>20</xdr:col>
      <xdr:colOff>500133</xdr:colOff>
      <xdr:row>16</xdr:row>
      <xdr:rowOff>2275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E7D60DC-50A3-4BFF-ADD3-2CF3F7E8F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71" y="55417"/>
          <a:ext cx="9879661" cy="6483927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381000</xdr:colOff>
      <xdr:row>0</xdr:row>
      <xdr:rowOff>0</xdr:rowOff>
    </xdr:from>
    <xdr:to>
      <xdr:col>27</xdr:col>
      <xdr:colOff>25452</xdr:colOff>
      <xdr:row>18</xdr:row>
      <xdr:rowOff>95250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D630C94-F25C-4CBB-892C-B2EACB9A3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0" y="0"/>
          <a:ext cx="3911652" cy="7372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34"/>
  <sheetViews>
    <sheetView tabSelected="1" zoomScale="41" zoomScaleNormal="70" workbookViewId="0">
      <selection activeCell="AH110" sqref="AH110"/>
    </sheetView>
  </sheetViews>
  <sheetFormatPr defaultRowHeight="14.4" x14ac:dyDescent="0.3"/>
  <cols>
    <col min="1" max="1" width="7.109375" customWidth="1"/>
    <col min="2" max="2" width="64.5546875" bestFit="1" customWidth="1"/>
    <col min="3" max="4" width="16.44140625" bestFit="1" customWidth="1"/>
    <col min="5" max="5" width="15.6640625" customWidth="1"/>
    <col min="6" max="11" width="12.77734375" bestFit="1" customWidth="1"/>
    <col min="12" max="14" width="14" bestFit="1" customWidth="1"/>
    <col min="15" max="15" width="17.21875" customWidth="1"/>
    <col min="18" max="18" width="64.5546875" bestFit="1" customWidth="1"/>
    <col min="19" max="19" width="15" customWidth="1"/>
    <col min="20" max="20" width="14.33203125" customWidth="1"/>
    <col min="21" max="21" width="14.33203125" bestFit="1" customWidth="1"/>
    <col min="22" max="22" width="15.21875" bestFit="1" customWidth="1"/>
    <col min="23" max="23" width="13.5546875" bestFit="1" customWidth="1"/>
    <col min="24" max="24" width="10.109375" customWidth="1"/>
    <col min="26" max="26" width="64.5546875" bestFit="1" customWidth="1"/>
    <col min="27" max="27" width="15.88671875" customWidth="1"/>
    <col min="28" max="30" width="14.33203125" bestFit="1" customWidth="1"/>
    <col min="31" max="31" width="13.5546875" bestFit="1" customWidth="1"/>
    <col min="34" max="34" width="61.44140625" bestFit="1" customWidth="1"/>
    <col min="35" max="35" width="16.21875" bestFit="1" customWidth="1"/>
  </cols>
  <sheetData>
    <row r="1" spans="1:15" x14ac:dyDescent="0.3">
      <c r="A1" s="12" t="s">
        <v>8</v>
      </c>
      <c r="C1" s="7" t="s">
        <v>4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x14ac:dyDescent="0.3">
      <c r="A2" s="3" t="s">
        <v>0</v>
      </c>
      <c r="B2" s="3" t="s">
        <v>1</v>
      </c>
      <c r="C2" s="37" t="s">
        <v>88</v>
      </c>
      <c r="D2" s="37" t="s">
        <v>89</v>
      </c>
      <c r="E2" s="37" t="s">
        <v>90</v>
      </c>
      <c r="F2" s="37" t="s">
        <v>91</v>
      </c>
      <c r="G2" s="37" t="s">
        <v>92</v>
      </c>
      <c r="H2" s="37" t="s">
        <v>93</v>
      </c>
      <c r="I2" s="37" t="s">
        <v>94</v>
      </c>
      <c r="J2" s="37" t="s">
        <v>95</v>
      </c>
      <c r="K2" s="37" t="s">
        <v>96</v>
      </c>
      <c r="L2" s="37" t="s">
        <v>97</v>
      </c>
      <c r="M2" s="37" t="s">
        <v>98</v>
      </c>
      <c r="N2" s="37" t="s">
        <v>99</v>
      </c>
      <c r="O2" s="2" t="s">
        <v>7</v>
      </c>
    </row>
    <row r="3" spans="1:15" x14ac:dyDescent="0.3">
      <c r="A3" s="3">
        <v>1</v>
      </c>
      <c r="B3" s="4" t="s">
        <v>2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f>1000000+1500000</f>
        <v>2500000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16">
        <f>SUM(C3:N3)</f>
        <v>2500000</v>
      </c>
    </row>
    <row r="4" spans="1:15" x14ac:dyDescent="0.3">
      <c r="A4" s="3">
        <v>2</v>
      </c>
      <c r="B4" s="4" t="s">
        <v>3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16">
        <f>SUM(C4:N4)</f>
        <v>0</v>
      </c>
    </row>
    <row r="5" spans="1:15" x14ac:dyDescent="0.3">
      <c r="A5" s="135" t="s">
        <v>7</v>
      </c>
      <c r="B5" s="136"/>
      <c r="C5" s="5">
        <f t="shared" ref="C5:N5" si="0">SUM(C3:C4)</f>
        <v>0</v>
      </c>
      <c r="D5" s="5">
        <f t="shared" si="0"/>
        <v>0</v>
      </c>
      <c r="E5" s="5">
        <f t="shared" si="0"/>
        <v>0</v>
      </c>
      <c r="F5" s="5">
        <f t="shared" si="0"/>
        <v>0</v>
      </c>
      <c r="G5" s="5">
        <f t="shared" si="0"/>
        <v>0</v>
      </c>
      <c r="H5" s="5">
        <f t="shared" si="0"/>
        <v>0</v>
      </c>
      <c r="I5" s="5">
        <f>SUM(I3:I4)</f>
        <v>2500000</v>
      </c>
      <c r="J5" s="5">
        <f t="shared" si="0"/>
        <v>0</v>
      </c>
      <c r="K5" s="5">
        <f t="shared" si="0"/>
        <v>0</v>
      </c>
      <c r="L5" s="5">
        <f t="shared" si="0"/>
        <v>0</v>
      </c>
      <c r="M5" s="5">
        <f t="shared" si="0"/>
        <v>0</v>
      </c>
      <c r="N5" s="5">
        <f t="shared" si="0"/>
        <v>0</v>
      </c>
      <c r="O5" s="16">
        <f>SUM(C5:N5)</f>
        <v>2500000</v>
      </c>
    </row>
    <row r="6" spans="1:15" x14ac:dyDescent="0.3">
      <c r="A6" s="14"/>
      <c r="B6" s="14"/>
      <c r="C6" s="15"/>
      <c r="D6" s="15"/>
      <c r="E6" s="15"/>
    </row>
    <row r="7" spans="1:15" x14ac:dyDescent="0.3">
      <c r="A7" s="12" t="s">
        <v>8</v>
      </c>
      <c r="C7" s="8" t="s">
        <v>5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ht="17.25" customHeight="1" x14ac:dyDescent="0.3">
      <c r="A8" s="3" t="s">
        <v>0</v>
      </c>
      <c r="B8" s="3" t="s">
        <v>1</v>
      </c>
      <c r="C8" s="25" t="s">
        <v>88</v>
      </c>
      <c r="D8" s="25" t="s">
        <v>89</v>
      </c>
      <c r="E8" s="25" t="s">
        <v>90</v>
      </c>
      <c r="F8" s="25" t="s">
        <v>91</v>
      </c>
      <c r="G8" s="25" t="s">
        <v>92</v>
      </c>
      <c r="H8" s="25" t="s">
        <v>93</v>
      </c>
      <c r="I8" s="25" t="s">
        <v>94</v>
      </c>
      <c r="J8" s="25" t="s">
        <v>95</v>
      </c>
      <c r="K8" s="25" t="s">
        <v>96</v>
      </c>
      <c r="L8" s="25" t="s">
        <v>97</v>
      </c>
      <c r="M8" s="25" t="s">
        <v>98</v>
      </c>
      <c r="N8" s="25" t="s">
        <v>99</v>
      </c>
      <c r="O8" s="2" t="s">
        <v>7</v>
      </c>
    </row>
    <row r="9" spans="1:15" x14ac:dyDescent="0.3">
      <c r="A9" s="3">
        <v>1</v>
      </c>
      <c r="B9" s="4" t="s">
        <v>2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2500000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16">
        <f>SUM(C9:N9)</f>
        <v>2500000</v>
      </c>
    </row>
    <row r="10" spans="1:15" x14ac:dyDescent="0.3">
      <c r="A10" s="3">
        <v>2</v>
      </c>
      <c r="B10" s="4" t="s">
        <v>3</v>
      </c>
      <c r="C10" s="6">
        <v>500000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16">
        <f>SUM(C10:N10)</f>
        <v>500000</v>
      </c>
    </row>
    <row r="11" spans="1:15" x14ac:dyDescent="0.3">
      <c r="A11" s="135" t="s">
        <v>7</v>
      </c>
      <c r="B11" s="136"/>
      <c r="C11" s="5">
        <f t="shared" ref="C11:N11" si="1">SUM(C9:C10)</f>
        <v>500000</v>
      </c>
      <c r="D11" s="5">
        <f t="shared" si="1"/>
        <v>0</v>
      </c>
      <c r="E11" s="5">
        <f t="shared" si="1"/>
        <v>0</v>
      </c>
      <c r="F11" s="5">
        <f t="shared" si="1"/>
        <v>0</v>
      </c>
      <c r="G11" s="5">
        <f t="shared" si="1"/>
        <v>0</v>
      </c>
      <c r="H11" s="5">
        <f t="shared" si="1"/>
        <v>0</v>
      </c>
      <c r="I11" s="5">
        <f t="shared" si="1"/>
        <v>2500000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 t="shared" si="1"/>
        <v>0</v>
      </c>
      <c r="O11" s="16">
        <f>SUM(C11:N11)</f>
        <v>3000000</v>
      </c>
    </row>
    <row r="12" spans="1:15" x14ac:dyDescent="0.3">
      <c r="A12" s="14"/>
      <c r="B12" s="14"/>
      <c r="C12" s="15"/>
      <c r="D12" s="15"/>
      <c r="E12" s="15"/>
    </row>
    <row r="13" spans="1:15" x14ac:dyDescent="0.3">
      <c r="A13" s="12" t="s">
        <v>8</v>
      </c>
      <c r="C13" s="9" t="s">
        <v>6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x14ac:dyDescent="0.3">
      <c r="A14" s="3" t="s">
        <v>0</v>
      </c>
      <c r="B14" s="3" t="s">
        <v>1</v>
      </c>
      <c r="C14" s="25" t="s">
        <v>88</v>
      </c>
      <c r="D14" s="25" t="s">
        <v>89</v>
      </c>
      <c r="E14" s="25" t="s">
        <v>90</v>
      </c>
      <c r="F14" s="25" t="s">
        <v>91</v>
      </c>
      <c r="G14" s="25" t="s">
        <v>92</v>
      </c>
      <c r="H14" s="25" t="s">
        <v>93</v>
      </c>
      <c r="I14" s="25" t="s">
        <v>94</v>
      </c>
      <c r="J14" s="25" t="s">
        <v>95</v>
      </c>
      <c r="K14" s="25" t="s">
        <v>96</v>
      </c>
      <c r="L14" s="25" t="s">
        <v>97</v>
      </c>
      <c r="M14" s="25" t="s">
        <v>98</v>
      </c>
      <c r="N14" s="25" t="s">
        <v>99</v>
      </c>
      <c r="O14" s="2" t="s">
        <v>7</v>
      </c>
    </row>
    <row r="15" spans="1:15" x14ac:dyDescent="0.3">
      <c r="A15" s="3">
        <v>1</v>
      </c>
      <c r="B15" s="4" t="s">
        <v>2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5000000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16">
        <f>SUM(C15:N15)</f>
        <v>5000000</v>
      </c>
    </row>
    <row r="16" spans="1:15" x14ac:dyDescent="0.3">
      <c r="A16" s="3">
        <v>2</v>
      </c>
      <c r="B16" s="4" t="s">
        <v>3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1000000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16">
        <f>SUM(C16:N16)</f>
        <v>1000000</v>
      </c>
    </row>
    <row r="17" spans="1:15" x14ac:dyDescent="0.3">
      <c r="A17" s="135" t="s">
        <v>7</v>
      </c>
      <c r="B17" s="136"/>
      <c r="C17" s="5">
        <f t="shared" ref="C17:N17" si="2">SUM(C15:C16)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  <c r="I17" s="5">
        <f t="shared" si="2"/>
        <v>6000000</v>
      </c>
      <c r="J17" s="5">
        <f t="shared" si="2"/>
        <v>0</v>
      </c>
      <c r="K17" s="5">
        <f t="shared" si="2"/>
        <v>0</v>
      </c>
      <c r="L17" s="5">
        <f t="shared" si="2"/>
        <v>0</v>
      </c>
      <c r="M17" s="5">
        <f t="shared" si="2"/>
        <v>0</v>
      </c>
      <c r="N17" s="5">
        <f t="shared" si="2"/>
        <v>0</v>
      </c>
      <c r="O17" s="16">
        <f>SUM(C17:N17)</f>
        <v>6000000</v>
      </c>
    </row>
    <row r="18" spans="1:15" x14ac:dyDescent="0.3">
      <c r="A18" s="14"/>
      <c r="B18" s="14"/>
      <c r="C18" s="15"/>
      <c r="D18" s="15"/>
      <c r="E18" s="15"/>
    </row>
    <row r="20" spans="1:15" ht="25.8" x14ac:dyDescent="0.5">
      <c r="A20" s="32" t="s">
        <v>54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x14ac:dyDescent="0.3">
      <c r="A21" s="12" t="s">
        <v>48</v>
      </c>
      <c r="D21" s="7" t="s">
        <v>4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ht="14.25" customHeight="1" x14ac:dyDescent="0.3">
      <c r="A22" s="23" t="s">
        <v>0</v>
      </c>
      <c r="B22" s="23" t="s">
        <v>15</v>
      </c>
      <c r="C22" s="37" t="s">
        <v>88</v>
      </c>
      <c r="D22" s="37" t="s">
        <v>89</v>
      </c>
      <c r="E22" s="37" t="s">
        <v>90</v>
      </c>
      <c r="F22" s="37" t="s">
        <v>91</v>
      </c>
      <c r="G22" s="37" t="s">
        <v>92</v>
      </c>
      <c r="H22" s="37" t="s">
        <v>93</v>
      </c>
      <c r="I22" s="37" t="s">
        <v>94</v>
      </c>
      <c r="J22" s="37" t="s">
        <v>95</v>
      </c>
      <c r="K22" s="37" t="s">
        <v>96</v>
      </c>
      <c r="L22" s="37" t="s">
        <v>97</v>
      </c>
      <c r="M22" s="37" t="s">
        <v>98</v>
      </c>
      <c r="N22" s="37" t="s">
        <v>99</v>
      </c>
      <c r="O22" s="24" t="s">
        <v>7</v>
      </c>
    </row>
    <row r="23" spans="1:15" ht="15" customHeight="1" x14ac:dyDescent="0.3">
      <c r="A23" s="123" t="s">
        <v>11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5"/>
    </row>
    <row r="24" spans="1:15" x14ac:dyDescent="0.3">
      <c r="A24" s="23">
        <v>1</v>
      </c>
      <c r="B24" s="4" t="s">
        <v>9</v>
      </c>
      <c r="C24" s="6">
        <v>20000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5">
        <f>SUM(C24:N24)</f>
        <v>20000</v>
      </c>
    </row>
    <row r="25" spans="1:15" x14ac:dyDescent="0.3">
      <c r="A25" s="23">
        <v>2</v>
      </c>
      <c r="B25" s="4" t="s">
        <v>104</v>
      </c>
      <c r="C25" s="6">
        <f>2975*12</f>
        <v>35700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5">
        <f>SUM(C25:N25)</f>
        <v>35700</v>
      </c>
    </row>
    <row r="26" spans="1:15" x14ac:dyDescent="0.3">
      <c r="A26" s="25">
        <v>3</v>
      </c>
      <c r="B26" s="4" t="s">
        <v>10</v>
      </c>
      <c r="C26" s="6">
        <v>10000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5">
        <f>SUM(C26:N26)</f>
        <v>10000</v>
      </c>
    </row>
    <row r="27" spans="1:15" x14ac:dyDescent="0.3">
      <c r="A27" s="25">
        <v>4</v>
      </c>
      <c r="B27" s="4" t="s">
        <v>43</v>
      </c>
      <c r="C27" s="6">
        <v>30000</v>
      </c>
      <c r="D27" s="6">
        <v>30000</v>
      </c>
      <c r="E27" s="6">
        <v>30000</v>
      </c>
      <c r="F27" s="6">
        <v>30000</v>
      </c>
      <c r="G27" s="6">
        <v>30000</v>
      </c>
      <c r="H27" s="6">
        <v>30000</v>
      </c>
      <c r="I27" s="6">
        <v>30000</v>
      </c>
      <c r="J27" s="6">
        <v>30000</v>
      </c>
      <c r="K27" s="6">
        <v>30000</v>
      </c>
      <c r="L27" s="6">
        <v>30000</v>
      </c>
      <c r="M27" s="6">
        <v>30000</v>
      </c>
      <c r="N27" s="6">
        <v>30000</v>
      </c>
      <c r="O27" s="5">
        <f>SUM(C27:N27)</f>
        <v>360000</v>
      </c>
    </row>
    <row r="28" spans="1:15" ht="15" customHeight="1" x14ac:dyDescent="0.3">
      <c r="A28" s="123" t="s">
        <v>12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5"/>
    </row>
    <row r="29" spans="1:15" ht="15" customHeight="1" x14ac:dyDescent="0.3">
      <c r="A29" s="23">
        <v>5</v>
      </c>
      <c r="B29" s="4" t="s">
        <v>78</v>
      </c>
      <c r="C29" s="6">
        <v>33000</v>
      </c>
      <c r="D29" s="6">
        <v>33000</v>
      </c>
      <c r="E29" s="6">
        <v>33000</v>
      </c>
      <c r="F29" s="6">
        <v>33000</v>
      </c>
      <c r="G29" s="6">
        <v>33000</v>
      </c>
      <c r="H29" s="6">
        <v>33000</v>
      </c>
      <c r="I29" s="6">
        <v>33000</v>
      </c>
      <c r="J29" s="6">
        <v>33000</v>
      </c>
      <c r="K29" s="6">
        <v>33000</v>
      </c>
      <c r="L29" s="6">
        <v>33000</v>
      </c>
      <c r="M29" s="6">
        <v>33000</v>
      </c>
      <c r="N29" s="6">
        <v>33000</v>
      </c>
      <c r="O29" s="5">
        <f t="shared" ref="O29:O32" si="3">SUM(C29:N29)</f>
        <v>396000</v>
      </c>
    </row>
    <row r="30" spans="1:15" ht="15" customHeight="1" x14ac:dyDescent="0.3">
      <c r="A30" s="23">
        <v>6</v>
      </c>
      <c r="B30" s="20" t="s">
        <v>86</v>
      </c>
      <c r="C30" s="6">
        <f>29000/2</f>
        <v>14500</v>
      </c>
      <c r="D30" s="6">
        <f t="shared" ref="D30:N30" si="4">29000/2</f>
        <v>14500</v>
      </c>
      <c r="E30" s="6">
        <f t="shared" si="4"/>
        <v>14500</v>
      </c>
      <c r="F30" s="6">
        <f t="shared" si="4"/>
        <v>14500</v>
      </c>
      <c r="G30" s="6">
        <f t="shared" si="4"/>
        <v>14500</v>
      </c>
      <c r="H30" s="6">
        <f t="shared" si="4"/>
        <v>14500</v>
      </c>
      <c r="I30" s="6">
        <f t="shared" si="4"/>
        <v>14500</v>
      </c>
      <c r="J30" s="6">
        <f t="shared" si="4"/>
        <v>14500</v>
      </c>
      <c r="K30" s="6">
        <f t="shared" si="4"/>
        <v>14500</v>
      </c>
      <c r="L30" s="6">
        <f t="shared" si="4"/>
        <v>14500</v>
      </c>
      <c r="M30" s="6">
        <f t="shared" si="4"/>
        <v>14500</v>
      </c>
      <c r="N30" s="6">
        <f t="shared" si="4"/>
        <v>14500</v>
      </c>
      <c r="O30" s="5">
        <f t="shared" si="3"/>
        <v>174000</v>
      </c>
    </row>
    <row r="31" spans="1:15" ht="15" customHeight="1" x14ac:dyDescent="0.3">
      <c r="A31" s="25">
        <v>7</v>
      </c>
      <c r="B31" s="4" t="s">
        <v>77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29000</v>
      </c>
      <c r="M31" s="6">
        <v>29000</v>
      </c>
      <c r="N31" s="6">
        <v>29000</v>
      </c>
      <c r="O31" s="5">
        <f t="shared" si="3"/>
        <v>87000</v>
      </c>
    </row>
    <row r="32" spans="1:15" x14ac:dyDescent="0.3">
      <c r="A32" s="25">
        <v>8</v>
      </c>
      <c r="B32" s="4" t="s">
        <v>13</v>
      </c>
      <c r="C32" s="6">
        <f>33000*3</f>
        <v>99000</v>
      </c>
      <c r="D32" s="6">
        <f t="shared" ref="D32:N32" si="5">33000*3</f>
        <v>99000</v>
      </c>
      <c r="E32" s="6">
        <f t="shared" si="5"/>
        <v>99000</v>
      </c>
      <c r="F32" s="6">
        <f t="shared" si="5"/>
        <v>99000</v>
      </c>
      <c r="G32" s="6">
        <f t="shared" si="5"/>
        <v>99000</v>
      </c>
      <c r="H32" s="6">
        <f t="shared" si="5"/>
        <v>99000</v>
      </c>
      <c r="I32" s="6">
        <f t="shared" si="5"/>
        <v>99000</v>
      </c>
      <c r="J32" s="6">
        <f t="shared" si="5"/>
        <v>99000</v>
      </c>
      <c r="K32" s="6">
        <f t="shared" si="5"/>
        <v>99000</v>
      </c>
      <c r="L32" s="6">
        <f t="shared" si="5"/>
        <v>99000</v>
      </c>
      <c r="M32" s="6">
        <f t="shared" si="5"/>
        <v>99000</v>
      </c>
      <c r="N32" s="6">
        <f t="shared" si="5"/>
        <v>99000</v>
      </c>
      <c r="O32" s="5">
        <f t="shared" si="3"/>
        <v>1188000</v>
      </c>
    </row>
    <row r="33" spans="1:15" x14ac:dyDescent="0.3">
      <c r="A33" s="52">
        <v>9</v>
      </c>
      <c r="B33" s="4" t="s">
        <v>87</v>
      </c>
      <c r="C33" s="6">
        <v>50000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5">
        <f>SUM(C33:N33)</f>
        <v>50000</v>
      </c>
    </row>
    <row r="34" spans="1:15" x14ac:dyDescent="0.3">
      <c r="A34" s="25">
        <v>10</v>
      </c>
      <c r="B34" s="4" t="s">
        <v>101</v>
      </c>
      <c r="C34" s="6">
        <v>0</v>
      </c>
      <c r="D34" s="6">
        <f>C33*1/4*1/12</f>
        <v>1041.6666666666667</v>
      </c>
      <c r="E34" s="6">
        <f>D34</f>
        <v>1041.6666666666667</v>
      </c>
      <c r="F34" s="6">
        <f t="shared" ref="F34:N34" si="6">E34</f>
        <v>1041.6666666666667</v>
      </c>
      <c r="G34" s="6">
        <f t="shared" si="6"/>
        <v>1041.6666666666667</v>
      </c>
      <c r="H34" s="6">
        <f t="shared" si="6"/>
        <v>1041.6666666666667</v>
      </c>
      <c r="I34" s="6">
        <f t="shared" si="6"/>
        <v>1041.6666666666667</v>
      </c>
      <c r="J34" s="6">
        <f t="shared" si="6"/>
        <v>1041.6666666666667</v>
      </c>
      <c r="K34" s="6">
        <f t="shared" si="6"/>
        <v>1041.6666666666667</v>
      </c>
      <c r="L34" s="6">
        <f t="shared" si="6"/>
        <v>1041.6666666666667</v>
      </c>
      <c r="M34" s="6">
        <f t="shared" si="6"/>
        <v>1041.6666666666667</v>
      </c>
      <c r="N34" s="6">
        <f t="shared" si="6"/>
        <v>1041.6666666666667</v>
      </c>
      <c r="O34" s="5">
        <f>SUM(C34:N34)</f>
        <v>11458.333333333332</v>
      </c>
    </row>
    <row r="35" spans="1:15" ht="15" customHeight="1" x14ac:dyDescent="0.3">
      <c r="A35" s="123" t="s">
        <v>20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5"/>
    </row>
    <row r="36" spans="1:15" x14ac:dyDescent="0.3">
      <c r="A36" s="23">
        <v>11</v>
      </c>
      <c r="B36" s="10" t="s">
        <v>14</v>
      </c>
      <c r="C36" s="6">
        <v>5000</v>
      </c>
      <c r="D36" s="6">
        <v>5000</v>
      </c>
      <c r="E36" s="6">
        <v>5000</v>
      </c>
      <c r="F36" s="6">
        <v>5000</v>
      </c>
      <c r="G36" s="6">
        <v>5000</v>
      </c>
      <c r="H36" s="6">
        <v>5000</v>
      </c>
      <c r="I36" s="6">
        <v>5000</v>
      </c>
      <c r="J36" s="6">
        <v>5000</v>
      </c>
      <c r="K36" s="6">
        <v>5000</v>
      </c>
      <c r="L36" s="6">
        <v>5000</v>
      </c>
      <c r="M36" s="6">
        <v>5000</v>
      </c>
      <c r="N36" s="6">
        <v>5000</v>
      </c>
      <c r="O36" s="5">
        <f>SUM(C36:N36)</f>
        <v>60000</v>
      </c>
    </row>
    <row r="37" spans="1:15" ht="15" customHeight="1" x14ac:dyDescent="0.3">
      <c r="A37" s="137" t="s">
        <v>7</v>
      </c>
      <c r="B37" s="137"/>
      <c r="C37" s="5">
        <f t="shared" ref="C37:N37" si="7">SUM(C24:C27)+SUM(C29:C34)+SUM(C36:C36)</f>
        <v>297200</v>
      </c>
      <c r="D37" s="5">
        <f t="shared" si="7"/>
        <v>182541.66666666666</v>
      </c>
      <c r="E37" s="5">
        <f t="shared" si="7"/>
        <v>182541.66666666666</v>
      </c>
      <c r="F37" s="5">
        <f t="shared" si="7"/>
        <v>182541.66666666666</v>
      </c>
      <c r="G37" s="5">
        <f t="shared" si="7"/>
        <v>182541.66666666666</v>
      </c>
      <c r="H37" s="5">
        <f t="shared" si="7"/>
        <v>182541.66666666666</v>
      </c>
      <c r="I37" s="5">
        <f t="shared" si="7"/>
        <v>182541.66666666666</v>
      </c>
      <c r="J37" s="5">
        <f t="shared" si="7"/>
        <v>182541.66666666666</v>
      </c>
      <c r="K37" s="5">
        <f t="shared" si="7"/>
        <v>182541.66666666666</v>
      </c>
      <c r="L37" s="5">
        <f t="shared" si="7"/>
        <v>211541.66666666666</v>
      </c>
      <c r="M37" s="5">
        <f t="shared" si="7"/>
        <v>211541.66666666666</v>
      </c>
      <c r="N37" s="5">
        <f t="shared" si="7"/>
        <v>211541.66666666666</v>
      </c>
      <c r="O37" s="34">
        <f>SUM(C37:N37)</f>
        <v>2392158.3333333335</v>
      </c>
    </row>
    <row r="39" spans="1:15" x14ac:dyDescent="0.3">
      <c r="A39" s="12" t="s">
        <v>48</v>
      </c>
      <c r="D39" s="8" t="s">
        <v>5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ht="18" customHeight="1" x14ac:dyDescent="0.3">
      <c r="A40" s="23" t="s">
        <v>0</v>
      </c>
      <c r="B40" s="23" t="s">
        <v>15</v>
      </c>
      <c r="C40" s="37" t="s">
        <v>88</v>
      </c>
      <c r="D40" s="37" t="s">
        <v>89</v>
      </c>
      <c r="E40" s="37" t="s">
        <v>90</v>
      </c>
      <c r="F40" s="37" t="s">
        <v>91</v>
      </c>
      <c r="G40" s="37" t="s">
        <v>92</v>
      </c>
      <c r="H40" s="37" t="s">
        <v>93</v>
      </c>
      <c r="I40" s="37" t="s">
        <v>94</v>
      </c>
      <c r="J40" s="37" t="s">
        <v>95</v>
      </c>
      <c r="K40" s="37" t="s">
        <v>96</v>
      </c>
      <c r="L40" s="37" t="s">
        <v>97</v>
      </c>
      <c r="M40" s="37" t="s">
        <v>98</v>
      </c>
      <c r="N40" s="37" t="s">
        <v>99</v>
      </c>
      <c r="O40" s="24" t="s">
        <v>7</v>
      </c>
    </row>
    <row r="41" spans="1:15" ht="15" customHeight="1" x14ac:dyDescent="0.3">
      <c r="A41" s="123" t="s">
        <v>11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5"/>
    </row>
    <row r="42" spans="1:15" ht="15" customHeight="1" x14ac:dyDescent="0.3">
      <c r="A42" s="23">
        <v>1</v>
      </c>
      <c r="B42" s="4" t="s">
        <v>9</v>
      </c>
      <c r="C42" s="6">
        <v>14000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5">
        <f>SUM(C42:N42)</f>
        <v>14000</v>
      </c>
    </row>
    <row r="43" spans="1:15" x14ac:dyDescent="0.3">
      <c r="A43" s="23">
        <v>2</v>
      </c>
      <c r="B43" s="4" t="s">
        <v>104</v>
      </c>
      <c r="C43" s="6">
        <f>(1692*12)</f>
        <v>20304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5">
        <f>SUM(C43:N43)</f>
        <v>20304</v>
      </c>
    </row>
    <row r="44" spans="1:15" x14ac:dyDescent="0.3">
      <c r="A44" s="25">
        <v>3</v>
      </c>
      <c r="B44" s="4" t="s">
        <v>10</v>
      </c>
      <c r="C44" s="6">
        <v>6000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5">
        <f>SUM(C44:N44)</f>
        <v>6000</v>
      </c>
    </row>
    <row r="45" spans="1:15" x14ac:dyDescent="0.3">
      <c r="A45" s="25">
        <v>4</v>
      </c>
      <c r="B45" s="4" t="s">
        <v>43</v>
      </c>
      <c r="C45" s="6">
        <v>14000</v>
      </c>
      <c r="D45" s="6">
        <v>14000</v>
      </c>
      <c r="E45" s="6">
        <v>14000</v>
      </c>
      <c r="F45" s="6">
        <v>14000</v>
      </c>
      <c r="G45" s="6">
        <v>14000</v>
      </c>
      <c r="H45" s="6">
        <v>14000</v>
      </c>
      <c r="I45" s="6">
        <v>14000</v>
      </c>
      <c r="J45" s="6">
        <v>14000</v>
      </c>
      <c r="K45" s="6">
        <v>14000</v>
      </c>
      <c r="L45" s="6">
        <v>14000</v>
      </c>
      <c r="M45" s="6">
        <v>14000</v>
      </c>
      <c r="N45" s="6">
        <v>14000</v>
      </c>
      <c r="O45" s="5">
        <f>SUM(C45:N45)</f>
        <v>168000</v>
      </c>
    </row>
    <row r="46" spans="1:15" ht="15" customHeight="1" x14ac:dyDescent="0.3">
      <c r="A46" s="123" t="s">
        <v>12</v>
      </c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5"/>
    </row>
    <row r="47" spans="1:15" ht="15" customHeight="1" x14ac:dyDescent="0.3">
      <c r="A47" s="23">
        <v>5</v>
      </c>
      <c r="B47" s="4" t="s">
        <v>78</v>
      </c>
      <c r="C47" s="6">
        <v>50000</v>
      </c>
      <c r="D47" s="6">
        <v>50000</v>
      </c>
      <c r="E47" s="6">
        <v>50000</v>
      </c>
      <c r="F47" s="6">
        <v>50000</v>
      </c>
      <c r="G47" s="6">
        <v>50000</v>
      </c>
      <c r="H47" s="6">
        <v>50000</v>
      </c>
      <c r="I47" s="6">
        <v>50000</v>
      </c>
      <c r="J47" s="6">
        <v>50000</v>
      </c>
      <c r="K47" s="6">
        <v>50000</v>
      </c>
      <c r="L47" s="6">
        <v>50000</v>
      </c>
      <c r="M47" s="6">
        <v>50000</v>
      </c>
      <c r="N47" s="6">
        <v>50000</v>
      </c>
      <c r="O47" s="5">
        <f t="shared" ref="O47:O52" si="8">SUM(C47:N47)</f>
        <v>600000</v>
      </c>
    </row>
    <row r="48" spans="1:15" ht="15" customHeight="1" x14ac:dyDescent="0.3">
      <c r="A48" s="23">
        <v>6</v>
      </c>
      <c r="B48" s="20" t="s">
        <v>86</v>
      </c>
      <c r="C48" s="6">
        <v>18000</v>
      </c>
      <c r="D48" s="6">
        <v>18000</v>
      </c>
      <c r="E48" s="6">
        <v>18000</v>
      </c>
      <c r="F48" s="6">
        <v>18000</v>
      </c>
      <c r="G48" s="6">
        <v>18000</v>
      </c>
      <c r="H48" s="6">
        <v>18000</v>
      </c>
      <c r="I48" s="6">
        <v>18000</v>
      </c>
      <c r="J48" s="6">
        <v>18000</v>
      </c>
      <c r="K48" s="6">
        <v>18000</v>
      </c>
      <c r="L48" s="6">
        <v>18000</v>
      </c>
      <c r="M48" s="6">
        <v>18000</v>
      </c>
      <c r="N48" s="6">
        <v>18000</v>
      </c>
      <c r="O48" s="5">
        <f t="shared" si="8"/>
        <v>216000</v>
      </c>
    </row>
    <row r="49" spans="1:15" ht="15" customHeight="1" x14ac:dyDescent="0.3">
      <c r="A49" s="25">
        <v>7</v>
      </c>
      <c r="B49" s="4" t="s">
        <v>77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f>80000/2</f>
        <v>40000</v>
      </c>
      <c r="M49" s="6">
        <f t="shared" ref="M49:N49" si="9">80000/2</f>
        <v>40000</v>
      </c>
      <c r="N49" s="6">
        <f t="shared" si="9"/>
        <v>40000</v>
      </c>
      <c r="O49" s="5">
        <f t="shared" si="8"/>
        <v>120000</v>
      </c>
    </row>
    <row r="50" spans="1:15" ht="15" customHeight="1" x14ac:dyDescent="0.3">
      <c r="A50" s="25">
        <v>8</v>
      </c>
      <c r="B50" s="4" t="s">
        <v>13</v>
      </c>
      <c r="C50" s="6">
        <f>40000*3</f>
        <v>120000</v>
      </c>
      <c r="D50" s="6">
        <f t="shared" ref="D50:N50" si="10">40000*3</f>
        <v>120000</v>
      </c>
      <c r="E50" s="6">
        <f t="shared" si="10"/>
        <v>120000</v>
      </c>
      <c r="F50" s="6">
        <f t="shared" si="10"/>
        <v>120000</v>
      </c>
      <c r="G50" s="6">
        <f t="shared" si="10"/>
        <v>120000</v>
      </c>
      <c r="H50" s="6">
        <f t="shared" si="10"/>
        <v>120000</v>
      </c>
      <c r="I50" s="6">
        <f t="shared" si="10"/>
        <v>120000</v>
      </c>
      <c r="J50" s="6">
        <f t="shared" si="10"/>
        <v>120000</v>
      </c>
      <c r="K50" s="6">
        <f t="shared" si="10"/>
        <v>120000</v>
      </c>
      <c r="L50" s="6">
        <f t="shared" si="10"/>
        <v>120000</v>
      </c>
      <c r="M50" s="6">
        <f t="shared" si="10"/>
        <v>120000</v>
      </c>
      <c r="N50" s="6">
        <f t="shared" si="10"/>
        <v>120000</v>
      </c>
      <c r="O50" s="5">
        <f t="shared" si="8"/>
        <v>1440000</v>
      </c>
    </row>
    <row r="51" spans="1:15" x14ac:dyDescent="0.3">
      <c r="A51" s="52">
        <v>9</v>
      </c>
      <c r="B51" s="4" t="s">
        <v>87</v>
      </c>
      <c r="C51" s="6">
        <v>60000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5">
        <f t="shared" ref="O51" si="11">SUM(C51:N51)</f>
        <v>60000</v>
      </c>
    </row>
    <row r="52" spans="1:15" x14ac:dyDescent="0.3">
      <c r="A52" s="25">
        <v>10</v>
      </c>
      <c r="B52" s="4" t="s">
        <v>101</v>
      </c>
      <c r="C52" s="6">
        <v>0</v>
      </c>
      <c r="D52" s="6">
        <f>C51*1/4*1/12</f>
        <v>1250</v>
      </c>
      <c r="E52" s="6">
        <f>D52</f>
        <v>1250</v>
      </c>
      <c r="F52" s="6">
        <f t="shared" ref="F52:N52" si="12">E52</f>
        <v>1250</v>
      </c>
      <c r="G52" s="6">
        <f t="shared" si="12"/>
        <v>1250</v>
      </c>
      <c r="H52" s="6">
        <f t="shared" si="12"/>
        <v>1250</v>
      </c>
      <c r="I52" s="6">
        <f t="shared" si="12"/>
        <v>1250</v>
      </c>
      <c r="J52" s="6">
        <f t="shared" si="12"/>
        <v>1250</v>
      </c>
      <c r="K52" s="6">
        <f t="shared" si="12"/>
        <v>1250</v>
      </c>
      <c r="L52" s="6">
        <f t="shared" si="12"/>
        <v>1250</v>
      </c>
      <c r="M52" s="6">
        <f t="shared" si="12"/>
        <v>1250</v>
      </c>
      <c r="N52" s="6">
        <f t="shared" si="12"/>
        <v>1250</v>
      </c>
      <c r="O52" s="5">
        <f t="shared" si="8"/>
        <v>13750</v>
      </c>
    </row>
    <row r="53" spans="1:15" ht="15" customHeight="1" x14ac:dyDescent="0.3">
      <c r="A53" s="123" t="s">
        <v>20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5"/>
    </row>
    <row r="54" spans="1:15" ht="15" customHeight="1" x14ac:dyDescent="0.3">
      <c r="A54" s="23">
        <v>11</v>
      </c>
      <c r="B54" s="10" t="s">
        <v>14</v>
      </c>
      <c r="C54" s="6">
        <v>3000</v>
      </c>
      <c r="D54" s="6">
        <v>3000</v>
      </c>
      <c r="E54" s="6">
        <v>3000</v>
      </c>
      <c r="F54" s="6">
        <v>3000</v>
      </c>
      <c r="G54" s="6">
        <v>3000</v>
      </c>
      <c r="H54" s="6">
        <v>3000</v>
      </c>
      <c r="I54" s="6">
        <v>3000</v>
      </c>
      <c r="J54" s="6">
        <v>3000</v>
      </c>
      <c r="K54" s="6">
        <v>3000</v>
      </c>
      <c r="L54" s="6">
        <v>3000</v>
      </c>
      <c r="M54" s="6">
        <v>3000</v>
      </c>
      <c r="N54" s="6">
        <v>3000</v>
      </c>
      <c r="O54" s="5">
        <f>SUM(C54:N54)</f>
        <v>36000</v>
      </c>
    </row>
    <row r="55" spans="1:15" x14ac:dyDescent="0.3">
      <c r="A55" s="137" t="s">
        <v>7</v>
      </c>
      <c r="B55" s="137"/>
      <c r="C55" s="5">
        <f>SUM(C42:C45)+SUM(C47:C52)+SUM(C54:C54)</f>
        <v>305304</v>
      </c>
      <c r="D55" s="5">
        <f>SUM(D42:D45)+SUM(D47:D52)+SUM(D54:D54)</f>
        <v>206250</v>
      </c>
      <c r="E55" s="5">
        <f t="shared" ref="E55:N55" si="13">SUM(E42:E45)+SUM(E47:E52)+SUM(E54:E54)</f>
        <v>206250</v>
      </c>
      <c r="F55" s="5">
        <f>SUM(F42:F45)+SUM(F47:F52)+SUM(F54:F54)</f>
        <v>206250</v>
      </c>
      <c r="G55" s="5">
        <f t="shared" si="13"/>
        <v>206250</v>
      </c>
      <c r="H55" s="5">
        <f t="shared" si="13"/>
        <v>206250</v>
      </c>
      <c r="I55" s="5">
        <f t="shared" si="13"/>
        <v>206250</v>
      </c>
      <c r="J55" s="5">
        <f t="shared" si="13"/>
        <v>206250</v>
      </c>
      <c r="K55" s="5">
        <f t="shared" si="13"/>
        <v>206250</v>
      </c>
      <c r="L55" s="5">
        <f t="shared" si="13"/>
        <v>246250</v>
      </c>
      <c r="M55" s="5">
        <f t="shared" si="13"/>
        <v>246250</v>
      </c>
      <c r="N55" s="5">
        <f t="shared" si="13"/>
        <v>246250</v>
      </c>
      <c r="O55" s="35">
        <f>SUM(C55:N55)</f>
        <v>2694054</v>
      </c>
    </row>
    <row r="56" spans="1:15" x14ac:dyDescent="0.3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1"/>
    </row>
    <row r="57" spans="1:15" ht="15.75" customHeight="1" x14ac:dyDescent="0.3">
      <c r="A57" s="12" t="s">
        <v>48</v>
      </c>
      <c r="D57" s="9" t="s">
        <v>6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ht="15" customHeight="1" x14ac:dyDescent="0.3">
      <c r="A58" s="3" t="s">
        <v>0</v>
      </c>
      <c r="B58" s="3" t="s">
        <v>15</v>
      </c>
      <c r="C58" s="37" t="s">
        <v>88</v>
      </c>
      <c r="D58" s="37" t="s">
        <v>89</v>
      </c>
      <c r="E58" s="37" t="s">
        <v>90</v>
      </c>
      <c r="F58" s="37" t="s">
        <v>91</v>
      </c>
      <c r="G58" s="37" t="s">
        <v>92</v>
      </c>
      <c r="H58" s="37" t="s">
        <v>93</v>
      </c>
      <c r="I58" s="37" t="s">
        <v>94</v>
      </c>
      <c r="J58" s="37" t="s">
        <v>95</v>
      </c>
      <c r="K58" s="37" t="s">
        <v>96</v>
      </c>
      <c r="L58" s="37" t="s">
        <v>97</v>
      </c>
      <c r="M58" s="37" t="s">
        <v>98</v>
      </c>
      <c r="N58" s="37" t="s">
        <v>99</v>
      </c>
      <c r="O58" s="27" t="s">
        <v>7</v>
      </c>
    </row>
    <row r="59" spans="1:15" x14ac:dyDescent="0.3">
      <c r="A59" s="123" t="s">
        <v>11</v>
      </c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</row>
    <row r="60" spans="1:15" x14ac:dyDescent="0.3">
      <c r="A60" s="3">
        <v>1</v>
      </c>
      <c r="B60" s="4" t="s">
        <v>9</v>
      </c>
      <c r="C60" s="6">
        <f t="shared" ref="C60" si="14">10000+4000</f>
        <v>14000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28">
        <f>SUM(C60:N60)</f>
        <v>14000</v>
      </c>
    </row>
    <row r="61" spans="1:15" x14ac:dyDescent="0.3">
      <c r="A61" s="3">
        <v>2</v>
      </c>
      <c r="B61" s="4" t="s">
        <v>104</v>
      </c>
      <c r="C61" s="6">
        <f>502*12</f>
        <v>6024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28">
        <f>SUM(C61:N61)</f>
        <v>6024</v>
      </c>
    </row>
    <row r="62" spans="1:15" x14ac:dyDescent="0.3">
      <c r="A62" s="25">
        <v>3</v>
      </c>
      <c r="B62" s="4" t="s">
        <v>10</v>
      </c>
      <c r="C62" s="6">
        <v>4000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28">
        <f>SUM(C62:N62)</f>
        <v>4000</v>
      </c>
    </row>
    <row r="63" spans="1:15" ht="15" customHeight="1" x14ac:dyDescent="0.3">
      <c r="A63" s="25">
        <v>4</v>
      </c>
      <c r="B63" s="4" t="s">
        <v>43</v>
      </c>
      <c r="C63" s="6">
        <v>5000</v>
      </c>
      <c r="D63" s="6">
        <v>5000</v>
      </c>
      <c r="E63" s="6">
        <v>5000</v>
      </c>
      <c r="F63" s="6">
        <v>5000</v>
      </c>
      <c r="G63" s="6">
        <v>5000</v>
      </c>
      <c r="H63" s="6">
        <v>5000</v>
      </c>
      <c r="I63" s="6">
        <v>5000</v>
      </c>
      <c r="J63" s="6">
        <v>5000</v>
      </c>
      <c r="K63" s="6">
        <v>5000</v>
      </c>
      <c r="L63" s="6">
        <v>5000</v>
      </c>
      <c r="M63" s="6">
        <v>5000</v>
      </c>
      <c r="N63" s="6">
        <v>5000</v>
      </c>
      <c r="O63" s="28">
        <f>SUM(C63:N63)</f>
        <v>60000</v>
      </c>
    </row>
    <row r="64" spans="1:15" ht="15" customHeight="1" x14ac:dyDescent="0.3">
      <c r="A64" s="123" t="s">
        <v>12</v>
      </c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</row>
    <row r="65" spans="1:15" ht="15" customHeight="1" x14ac:dyDescent="0.3">
      <c r="A65" s="13">
        <v>5</v>
      </c>
      <c r="B65" s="4" t="s">
        <v>78</v>
      </c>
      <c r="C65" s="6">
        <v>120000</v>
      </c>
      <c r="D65" s="6">
        <v>120000</v>
      </c>
      <c r="E65" s="6">
        <v>120000</v>
      </c>
      <c r="F65" s="6">
        <v>120000</v>
      </c>
      <c r="G65" s="6">
        <v>120000</v>
      </c>
      <c r="H65" s="6">
        <v>120000</v>
      </c>
      <c r="I65" s="6">
        <v>120000</v>
      </c>
      <c r="J65" s="6">
        <v>120000</v>
      </c>
      <c r="K65" s="6">
        <v>120000</v>
      </c>
      <c r="L65" s="6">
        <v>120000</v>
      </c>
      <c r="M65" s="6">
        <v>120000</v>
      </c>
      <c r="N65" s="6">
        <v>120000</v>
      </c>
      <c r="O65" s="28">
        <f t="shared" ref="O65:O70" si="15">SUM(C65:N65)</f>
        <v>1440000</v>
      </c>
    </row>
    <row r="66" spans="1:15" ht="15" customHeight="1" x14ac:dyDescent="0.3">
      <c r="A66" s="13">
        <v>6</v>
      </c>
      <c r="B66" s="20" t="s">
        <v>79</v>
      </c>
      <c r="C66" s="6">
        <f>80000/2</f>
        <v>40000</v>
      </c>
      <c r="D66" s="6">
        <f t="shared" ref="D66:N66" si="16">80000/2</f>
        <v>40000</v>
      </c>
      <c r="E66" s="6">
        <f t="shared" si="16"/>
        <v>40000</v>
      </c>
      <c r="F66" s="6">
        <f t="shared" si="16"/>
        <v>40000</v>
      </c>
      <c r="G66" s="6">
        <f t="shared" si="16"/>
        <v>40000</v>
      </c>
      <c r="H66" s="6">
        <f t="shared" si="16"/>
        <v>40000</v>
      </c>
      <c r="I66" s="6">
        <f t="shared" si="16"/>
        <v>40000</v>
      </c>
      <c r="J66" s="6">
        <f t="shared" si="16"/>
        <v>40000</v>
      </c>
      <c r="K66" s="6">
        <f t="shared" si="16"/>
        <v>40000</v>
      </c>
      <c r="L66" s="6">
        <f t="shared" si="16"/>
        <v>40000</v>
      </c>
      <c r="M66" s="6">
        <f t="shared" si="16"/>
        <v>40000</v>
      </c>
      <c r="N66" s="6">
        <f t="shared" si="16"/>
        <v>40000</v>
      </c>
      <c r="O66" s="28">
        <f t="shared" si="15"/>
        <v>480000</v>
      </c>
    </row>
    <row r="67" spans="1:15" x14ac:dyDescent="0.3">
      <c r="A67" s="25">
        <v>7</v>
      </c>
      <c r="B67" s="4" t="s">
        <v>77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f>100000/2</f>
        <v>50000</v>
      </c>
      <c r="M67" s="6">
        <f t="shared" ref="M67:N67" si="17">100000/2</f>
        <v>50000</v>
      </c>
      <c r="N67" s="6">
        <f t="shared" si="17"/>
        <v>50000</v>
      </c>
      <c r="O67" s="28">
        <f t="shared" si="15"/>
        <v>150000</v>
      </c>
    </row>
    <row r="68" spans="1:15" x14ac:dyDescent="0.3">
      <c r="A68" s="25">
        <v>8</v>
      </c>
      <c r="B68" s="4" t="s">
        <v>13</v>
      </c>
      <c r="C68" s="6">
        <f>3*100000</f>
        <v>300000</v>
      </c>
      <c r="D68" s="6">
        <f t="shared" ref="D68:N68" si="18">3*100000</f>
        <v>300000</v>
      </c>
      <c r="E68" s="6">
        <f t="shared" si="18"/>
        <v>300000</v>
      </c>
      <c r="F68" s="6">
        <f t="shared" si="18"/>
        <v>300000</v>
      </c>
      <c r="G68" s="6">
        <f t="shared" si="18"/>
        <v>300000</v>
      </c>
      <c r="H68" s="6">
        <f t="shared" si="18"/>
        <v>300000</v>
      </c>
      <c r="I68" s="6">
        <f t="shared" si="18"/>
        <v>300000</v>
      </c>
      <c r="J68" s="6">
        <f t="shared" si="18"/>
        <v>300000</v>
      </c>
      <c r="K68" s="6">
        <f t="shared" si="18"/>
        <v>300000</v>
      </c>
      <c r="L68" s="6">
        <f t="shared" si="18"/>
        <v>300000</v>
      </c>
      <c r="M68" s="6">
        <f t="shared" si="18"/>
        <v>300000</v>
      </c>
      <c r="N68" s="6">
        <f t="shared" si="18"/>
        <v>300000</v>
      </c>
      <c r="O68" s="28">
        <f t="shared" si="15"/>
        <v>3600000</v>
      </c>
    </row>
    <row r="69" spans="1:15" ht="15" customHeight="1" x14ac:dyDescent="0.3">
      <c r="A69" s="52">
        <v>9</v>
      </c>
      <c r="B69" s="4" t="s">
        <v>87</v>
      </c>
      <c r="C69" s="6">
        <v>80000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28">
        <f t="shared" ref="O69" si="19">SUM(C69:N69)</f>
        <v>80000</v>
      </c>
    </row>
    <row r="70" spans="1:15" x14ac:dyDescent="0.3">
      <c r="A70" s="25">
        <v>10</v>
      </c>
      <c r="B70" s="4" t="s">
        <v>101</v>
      </c>
      <c r="C70" s="6">
        <v>0</v>
      </c>
      <c r="D70" s="6">
        <f>C69*1/4*1/12</f>
        <v>1666.6666666666667</v>
      </c>
      <c r="E70" s="6">
        <f>D70</f>
        <v>1666.6666666666667</v>
      </c>
      <c r="F70" s="6">
        <f t="shared" ref="F70:N70" si="20">E70</f>
        <v>1666.6666666666667</v>
      </c>
      <c r="G70" s="6">
        <f t="shared" si="20"/>
        <v>1666.6666666666667</v>
      </c>
      <c r="H70" s="6">
        <f t="shared" si="20"/>
        <v>1666.6666666666667</v>
      </c>
      <c r="I70" s="6">
        <f t="shared" si="20"/>
        <v>1666.6666666666667</v>
      </c>
      <c r="J70" s="6">
        <f t="shared" si="20"/>
        <v>1666.6666666666667</v>
      </c>
      <c r="K70" s="6">
        <f t="shared" si="20"/>
        <v>1666.6666666666667</v>
      </c>
      <c r="L70" s="6">
        <f t="shared" si="20"/>
        <v>1666.6666666666667</v>
      </c>
      <c r="M70" s="6">
        <f t="shared" si="20"/>
        <v>1666.6666666666667</v>
      </c>
      <c r="N70" s="6">
        <f t="shared" si="20"/>
        <v>1666.6666666666667</v>
      </c>
      <c r="O70" s="28">
        <f t="shared" si="15"/>
        <v>18333.333333333332</v>
      </c>
    </row>
    <row r="71" spans="1:15" ht="15" customHeight="1" x14ac:dyDescent="0.3">
      <c r="A71" s="123" t="s">
        <v>20</v>
      </c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</row>
    <row r="72" spans="1:15" ht="15" customHeight="1" x14ac:dyDescent="0.3">
      <c r="A72" s="3">
        <v>11</v>
      </c>
      <c r="B72" s="10" t="s">
        <v>14</v>
      </c>
      <c r="C72" s="6">
        <v>2000</v>
      </c>
      <c r="D72" s="6">
        <v>2000</v>
      </c>
      <c r="E72" s="6">
        <v>2000</v>
      </c>
      <c r="F72" s="6">
        <v>2000</v>
      </c>
      <c r="G72" s="6">
        <v>2000</v>
      </c>
      <c r="H72" s="6">
        <v>2000</v>
      </c>
      <c r="I72" s="6">
        <v>2000</v>
      </c>
      <c r="J72" s="6">
        <v>2000</v>
      </c>
      <c r="K72" s="6">
        <v>2000</v>
      </c>
      <c r="L72" s="6">
        <v>2000</v>
      </c>
      <c r="M72" s="6">
        <v>2000</v>
      </c>
      <c r="N72" s="6">
        <v>2000</v>
      </c>
      <c r="O72" s="5">
        <f>SUM(C72:N72)</f>
        <v>24000</v>
      </c>
    </row>
    <row r="73" spans="1:15" ht="15" customHeight="1" x14ac:dyDescent="0.3">
      <c r="A73" s="137" t="s">
        <v>7</v>
      </c>
      <c r="B73" s="137"/>
      <c r="C73" s="5">
        <f t="shared" ref="C73:N73" si="21">SUM(C60:C63)+SUM(C65:C70)+SUM(C72:C72)</f>
        <v>571024</v>
      </c>
      <c r="D73" s="5">
        <f t="shared" si="21"/>
        <v>468666.66666666669</v>
      </c>
      <c r="E73" s="5">
        <f t="shared" si="21"/>
        <v>468666.66666666669</v>
      </c>
      <c r="F73" s="5">
        <f t="shared" si="21"/>
        <v>468666.66666666669</v>
      </c>
      <c r="G73" s="5">
        <f t="shared" si="21"/>
        <v>468666.66666666669</v>
      </c>
      <c r="H73" s="5">
        <f t="shared" si="21"/>
        <v>468666.66666666669</v>
      </c>
      <c r="I73" s="5">
        <f t="shared" si="21"/>
        <v>468666.66666666669</v>
      </c>
      <c r="J73" s="5">
        <f t="shared" si="21"/>
        <v>468666.66666666669</v>
      </c>
      <c r="K73" s="5">
        <f t="shared" si="21"/>
        <v>468666.66666666669</v>
      </c>
      <c r="L73" s="5">
        <f t="shared" si="21"/>
        <v>518666.66666666669</v>
      </c>
      <c r="M73" s="5">
        <f t="shared" si="21"/>
        <v>518666.66666666669</v>
      </c>
      <c r="N73" s="5">
        <f t="shared" si="21"/>
        <v>518666.66666666669</v>
      </c>
      <c r="O73" s="36">
        <f>SUM(C73:N73)</f>
        <v>5876357.333333334</v>
      </c>
    </row>
    <row r="74" spans="1:15" ht="15" customHeight="1" x14ac:dyDescent="0.3">
      <c r="A74" s="14"/>
      <c r="B74" s="14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1:15" ht="15" customHeight="1" x14ac:dyDescent="0.3">
      <c r="A75" s="117" t="s">
        <v>154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5"/>
      <c r="M75" s="15"/>
      <c r="N75" s="15"/>
      <c r="O75" s="15"/>
    </row>
    <row r="76" spans="1:15" ht="15" customHeight="1" x14ac:dyDescent="0.3">
      <c r="A76" s="118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5"/>
      <c r="M76" s="15"/>
      <c r="N76" s="15"/>
      <c r="O76" s="15"/>
    </row>
    <row r="77" spans="1:15" ht="15" customHeight="1" x14ac:dyDescent="0.3">
      <c r="A77" s="118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5"/>
      <c r="M77" s="15"/>
      <c r="N77" s="15"/>
      <c r="O77" s="15"/>
    </row>
    <row r="78" spans="1:15" x14ac:dyDescent="0.3">
      <c r="A78" s="118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5"/>
      <c r="M78" s="15"/>
      <c r="N78" s="15"/>
    </row>
    <row r="79" spans="1:15" x14ac:dyDescent="0.3">
      <c r="A79" s="14"/>
      <c r="B79" s="14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1" spans="1:47" ht="25.8" customHeight="1" x14ac:dyDescent="0.5">
      <c r="A81" s="32" t="s">
        <v>53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AG81" s="32" t="s">
        <v>52</v>
      </c>
      <c r="AH81" s="33"/>
      <c r="AI81" s="33"/>
      <c r="AJ81" s="60"/>
      <c r="AK81" s="113" t="s">
        <v>147</v>
      </c>
      <c r="AL81" s="114"/>
      <c r="AM81" s="114"/>
      <c r="AN81" s="114"/>
      <c r="AO81" s="114"/>
      <c r="AP81" s="60"/>
      <c r="AQ81" s="60"/>
      <c r="AR81" s="60"/>
      <c r="AS81" s="60"/>
      <c r="AT81" s="60"/>
      <c r="AU81" s="60"/>
    </row>
    <row r="82" spans="1:47" ht="14.4" customHeight="1" x14ac:dyDescent="0.3">
      <c r="A82" s="39" t="s">
        <v>46</v>
      </c>
      <c r="B82" s="38"/>
      <c r="C82" s="7" t="s">
        <v>4</v>
      </c>
      <c r="D82" s="22"/>
      <c r="E82" s="7"/>
      <c r="F82" s="7"/>
      <c r="G82" s="7"/>
      <c r="H82" s="7"/>
      <c r="I82" s="7"/>
      <c r="J82" s="7"/>
      <c r="K82" s="7"/>
      <c r="L82" s="7"/>
      <c r="M82" s="7"/>
      <c r="N82" s="7"/>
      <c r="Q82" s="12" t="s">
        <v>47</v>
      </c>
      <c r="S82" s="7" t="s">
        <v>4</v>
      </c>
      <c r="T82" s="7"/>
      <c r="U82" s="7"/>
      <c r="V82" s="7"/>
      <c r="W82" s="7"/>
      <c r="Y82" s="12" t="s">
        <v>84</v>
      </c>
      <c r="AA82" s="7" t="s">
        <v>4</v>
      </c>
      <c r="AB82" s="7"/>
      <c r="AC82" s="7"/>
      <c r="AD82" s="7"/>
      <c r="AE82" s="7"/>
      <c r="AG82" s="12" t="s">
        <v>50</v>
      </c>
      <c r="AI82" s="8" t="s">
        <v>5</v>
      </c>
      <c r="AK82" s="114"/>
      <c r="AL82" s="114"/>
      <c r="AM82" s="114"/>
      <c r="AN82" s="114"/>
      <c r="AO82" s="114"/>
    </row>
    <row r="83" spans="1:47" ht="14.4" customHeight="1" x14ac:dyDescent="0.3">
      <c r="A83" s="25" t="s">
        <v>0</v>
      </c>
      <c r="B83" s="25" t="s">
        <v>15</v>
      </c>
      <c r="C83" s="37" t="s">
        <v>88</v>
      </c>
      <c r="D83" s="37" t="s">
        <v>89</v>
      </c>
      <c r="E83" s="37" t="s">
        <v>90</v>
      </c>
      <c r="F83" s="37" t="s">
        <v>91</v>
      </c>
      <c r="G83" s="37" t="s">
        <v>92</v>
      </c>
      <c r="H83" s="37" t="s">
        <v>93</v>
      </c>
      <c r="I83" s="37" t="s">
        <v>94</v>
      </c>
      <c r="J83" s="37" t="s">
        <v>95</v>
      </c>
      <c r="K83" s="37" t="s">
        <v>96</v>
      </c>
      <c r="L83" s="37" t="s">
        <v>97</v>
      </c>
      <c r="M83" s="37" t="s">
        <v>98</v>
      </c>
      <c r="N83" s="37" t="s">
        <v>99</v>
      </c>
      <c r="O83" s="26" t="s">
        <v>7</v>
      </c>
      <c r="Q83" s="52" t="s">
        <v>0</v>
      </c>
      <c r="R83" s="52" t="s">
        <v>15</v>
      </c>
      <c r="S83" s="52" t="s">
        <v>139</v>
      </c>
      <c r="T83" s="52" t="s">
        <v>140</v>
      </c>
      <c r="U83" s="52" t="s">
        <v>141</v>
      </c>
      <c r="V83" s="52" t="s">
        <v>142</v>
      </c>
      <c r="W83" s="53" t="s">
        <v>7</v>
      </c>
      <c r="X83" s="40"/>
      <c r="Y83" s="52" t="s">
        <v>0</v>
      </c>
      <c r="Z83" s="52" t="s">
        <v>15</v>
      </c>
      <c r="AA83" s="52" t="s">
        <v>139</v>
      </c>
      <c r="AB83" s="52" t="s">
        <v>140</v>
      </c>
      <c r="AC83" s="52" t="s">
        <v>141</v>
      </c>
      <c r="AD83" s="52" t="s">
        <v>142</v>
      </c>
      <c r="AE83" s="53" t="s">
        <v>7</v>
      </c>
      <c r="AG83" s="47" t="s">
        <v>0</v>
      </c>
      <c r="AH83" s="47" t="s">
        <v>15</v>
      </c>
      <c r="AI83" s="47" t="s">
        <v>24</v>
      </c>
      <c r="AJ83" s="30"/>
      <c r="AK83" s="114"/>
      <c r="AL83" s="114"/>
      <c r="AM83" s="114"/>
      <c r="AN83" s="114"/>
      <c r="AO83" s="114"/>
    </row>
    <row r="84" spans="1:47" ht="15" customHeight="1" x14ac:dyDescent="0.3">
      <c r="A84" s="132" t="s">
        <v>17</v>
      </c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4"/>
      <c r="Q84" s="123" t="s">
        <v>17</v>
      </c>
      <c r="R84" s="124"/>
      <c r="S84" s="124"/>
      <c r="T84" s="124"/>
      <c r="U84" s="124"/>
      <c r="V84" s="125"/>
      <c r="W84" s="5"/>
      <c r="X84" s="40"/>
      <c r="Y84" s="123" t="s">
        <v>17</v>
      </c>
      <c r="Z84" s="124"/>
      <c r="AA84" s="124"/>
      <c r="AB84" s="124"/>
      <c r="AC84" s="124"/>
      <c r="AD84" s="125"/>
      <c r="AE84" s="5"/>
      <c r="AG84" s="131" t="s">
        <v>22</v>
      </c>
      <c r="AH84" s="131"/>
      <c r="AI84" s="131"/>
      <c r="AK84" s="114"/>
      <c r="AL84" s="114"/>
      <c r="AM84" s="114"/>
      <c r="AN84" s="114"/>
      <c r="AO84" s="114"/>
    </row>
    <row r="85" spans="1:47" ht="15" customHeight="1" x14ac:dyDescent="0.3">
      <c r="A85" s="25">
        <v>1</v>
      </c>
      <c r="B85" s="4" t="s">
        <v>13</v>
      </c>
      <c r="C85" s="6">
        <f>3*0.5*33000</f>
        <v>49500</v>
      </c>
      <c r="D85" s="6">
        <f t="shared" ref="D85:N85" si="22">3*0.5*33000</f>
        <v>49500</v>
      </c>
      <c r="E85" s="6">
        <f t="shared" si="22"/>
        <v>49500</v>
      </c>
      <c r="F85" s="6">
        <f t="shared" si="22"/>
        <v>49500</v>
      </c>
      <c r="G85" s="6">
        <f t="shared" si="22"/>
        <v>49500</v>
      </c>
      <c r="H85" s="6">
        <f t="shared" si="22"/>
        <v>49500</v>
      </c>
      <c r="I85" s="6">
        <f t="shared" si="22"/>
        <v>49500</v>
      </c>
      <c r="J85" s="6">
        <f t="shared" si="22"/>
        <v>49500</v>
      </c>
      <c r="K85" s="6">
        <f t="shared" si="22"/>
        <v>49500</v>
      </c>
      <c r="L85" s="6">
        <f t="shared" si="22"/>
        <v>49500</v>
      </c>
      <c r="M85" s="6">
        <f t="shared" si="22"/>
        <v>49500</v>
      </c>
      <c r="N85" s="6">
        <f t="shared" si="22"/>
        <v>49500</v>
      </c>
      <c r="O85" s="5">
        <f t="shared" ref="O85:O90" si="23">SUM(C85:N85)</f>
        <v>594000</v>
      </c>
      <c r="Q85" s="52">
        <v>1</v>
      </c>
      <c r="R85" s="4" t="s">
        <v>13</v>
      </c>
      <c r="S85" s="6">
        <f>(3*0.75*40000)*3</f>
        <v>270000</v>
      </c>
      <c r="T85" s="6">
        <f t="shared" ref="T85:V85" si="24">(3*0.75*40000)*3</f>
        <v>270000</v>
      </c>
      <c r="U85" s="6">
        <f t="shared" si="24"/>
        <v>270000</v>
      </c>
      <c r="V85" s="6">
        <f t="shared" si="24"/>
        <v>270000</v>
      </c>
      <c r="W85" s="5">
        <f>SUM(S85:V85)</f>
        <v>1080000</v>
      </c>
      <c r="X85" s="42"/>
      <c r="Y85" s="52">
        <v>1</v>
      </c>
      <c r="Z85" s="4" t="s">
        <v>13</v>
      </c>
      <c r="AA85" s="6">
        <f>(3*50000)*3</f>
        <v>450000</v>
      </c>
      <c r="AB85" s="6">
        <f t="shared" ref="AB85:AD85" si="25">(3*50000)*3</f>
        <v>450000</v>
      </c>
      <c r="AC85" s="6">
        <f t="shared" si="25"/>
        <v>450000</v>
      </c>
      <c r="AD85" s="6">
        <f t="shared" si="25"/>
        <v>450000</v>
      </c>
      <c r="AE85" s="5">
        <f>SUM(AA85:AD85)</f>
        <v>1800000</v>
      </c>
      <c r="AG85" s="47">
        <v>1</v>
      </c>
      <c r="AH85" s="1" t="s">
        <v>109</v>
      </c>
      <c r="AI85" s="54">
        <f>12*3000</f>
        <v>36000</v>
      </c>
      <c r="AK85" s="114"/>
      <c r="AL85" s="114"/>
      <c r="AM85" s="114"/>
      <c r="AN85" s="114"/>
      <c r="AO85" s="114"/>
    </row>
    <row r="86" spans="1:47" x14ac:dyDescent="0.3">
      <c r="A86" s="25">
        <v>2</v>
      </c>
      <c r="B86" s="4" t="s">
        <v>86</v>
      </c>
      <c r="C86" s="6">
        <f>29000/2</f>
        <v>14500</v>
      </c>
      <c r="D86" s="6">
        <f t="shared" ref="D86:N86" si="26">29000/2</f>
        <v>14500</v>
      </c>
      <c r="E86" s="6">
        <f t="shared" si="26"/>
        <v>14500</v>
      </c>
      <c r="F86" s="6">
        <f t="shared" si="26"/>
        <v>14500</v>
      </c>
      <c r="G86" s="6">
        <f t="shared" si="26"/>
        <v>14500</v>
      </c>
      <c r="H86" s="6">
        <f t="shared" si="26"/>
        <v>14500</v>
      </c>
      <c r="I86" s="6">
        <f t="shared" si="26"/>
        <v>14500</v>
      </c>
      <c r="J86" s="6">
        <f t="shared" si="26"/>
        <v>14500</v>
      </c>
      <c r="K86" s="6">
        <f t="shared" si="26"/>
        <v>14500</v>
      </c>
      <c r="L86" s="6">
        <f t="shared" si="26"/>
        <v>14500</v>
      </c>
      <c r="M86" s="6">
        <f t="shared" si="26"/>
        <v>14500</v>
      </c>
      <c r="N86" s="6">
        <f t="shared" si="26"/>
        <v>14500</v>
      </c>
      <c r="O86" s="5">
        <f t="shared" si="23"/>
        <v>174000</v>
      </c>
      <c r="Q86" s="52">
        <v>2</v>
      </c>
      <c r="R86" s="4" t="s">
        <v>86</v>
      </c>
      <c r="S86" s="6">
        <f>35000*0.75*3</f>
        <v>78750</v>
      </c>
      <c r="T86" s="6">
        <f t="shared" ref="T86:V86" si="27">35000*0.75*3</f>
        <v>78750</v>
      </c>
      <c r="U86" s="6">
        <f t="shared" si="27"/>
        <v>78750</v>
      </c>
      <c r="V86" s="6">
        <f t="shared" si="27"/>
        <v>78750</v>
      </c>
      <c r="W86" s="5">
        <f>SUM(S86:V86)</f>
        <v>315000</v>
      </c>
      <c r="X86" s="42"/>
      <c r="Y86" s="52">
        <v>2</v>
      </c>
      <c r="Z86" s="4" t="s">
        <v>86</v>
      </c>
      <c r="AA86" s="6">
        <f>50000*3</f>
        <v>150000</v>
      </c>
      <c r="AB86" s="6">
        <f>AA86</f>
        <v>150000</v>
      </c>
      <c r="AC86" s="6">
        <f t="shared" ref="AC86:AD86" si="28">AB86</f>
        <v>150000</v>
      </c>
      <c r="AD86" s="6">
        <f t="shared" si="28"/>
        <v>150000</v>
      </c>
      <c r="AE86" s="5">
        <f>SUM(AA86:AD86)</f>
        <v>600000</v>
      </c>
      <c r="AG86" s="123" t="s">
        <v>107</v>
      </c>
      <c r="AH86" s="124"/>
      <c r="AI86" s="125"/>
      <c r="AK86" s="114"/>
      <c r="AL86" s="114"/>
      <c r="AM86" s="114"/>
      <c r="AN86" s="114"/>
      <c r="AO86" s="114"/>
    </row>
    <row r="87" spans="1:47" ht="18.600000000000001" customHeight="1" x14ac:dyDescent="0.3">
      <c r="A87" s="25">
        <v>3</v>
      </c>
      <c r="B87" s="4" t="s">
        <v>78</v>
      </c>
      <c r="C87" s="6">
        <v>33000</v>
      </c>
      <c r="D87" s="6">
        <v>33000</v>
      </c>
      <c r="E87" s="6">
        <v>33000</v>
      </c>
      <c r="F87" s="6">
        <v>33000</v>
      </c>
      <c r="G87" s="6">
        <v>33000</v>
      </c>
      <c r="H87" s="6">
        <v>33000</v>
      </c>
      <c r="I87" s="6">
        <v>33000</v>
      </c>
      <c r="J87" s="6">
        <v>33000</v>
      </c>
      <c r="K87" s="6">
        <v>33000</v>
      </c>
      <c r="L87" s="6">
        <v>33000</v>
      </c>
      <c r="M87" s="6">
        <v>33000</v>
      </c>
      <c r="N87" s="6">
        <v>33000</v>
      </c>
      <c r="O87" s="5">
        <f t="shared" si="23"/>
        <v>396000</v>
      </c>
      <c r="Q87" s="52">
        <v>3</v>
      </c>
      <c r="R87" s="4" t="s">
        <v>78</v>
      </c>
      <c r="S87" s="6">
        <f>45000*3</f>
        <v>135000</v>
      </c>
      <c r="T87" s="6">
        <f t="shared" ref="T87:V87" si="29">45000*3</f>
        <v>135000</v>
      </c>
      <c r="U87" s="6">
        <f t="shared" si="29"/>
        <v>135000</v>
      </c>
      <c r="V87" s="6">
        <f t="shared" si="29"/>
        <v>135000</v>
      </c>
      <c r="W87" s="5">
        <f>SUM(S87:V87)</f>
        <v>540000</v>
      </c>
      <c r="X87" s="42"/>
      <c r="Y87" s="52">
        <v>3</v>
      </c>
      <c r="Z87" s="4" t="s">
        <v>78</v>
      </c>
      <c r="AA87" s="6">
        <f>55000*3</f>
        <v>165000</v>
      </c>
      <c r="AB87" s="6">
        <f>AA87</f>
        <v>165000</v>
      </c>
      <c r="AC87" s="6">
        <f t="shared" ref="AC87:AD87" si="30">AB87</f>
        <v>165000</v>
      </c>
      <c r="AD87" s="6">
        <f t="shared" si="30"/>
        <v>165000</v>
      </c>
      <c r="AE87" s="5">
        <f>SUM(AA87:AD87)</f>
        <v>660000</v>
      </c>
      <c r="AG87" s="47">
        <v>2</v>
      </c>
      <c r="AH87" s="1" t="s">
        <v>110</v>
      </c>
      <c r="AI87" s="55">
        <v>150000</v>
      </c>
      <c r="AK87" s="114"/>
      <c r="AL87" s="114"/>
      <c r="AM87" s="114"/>
      <c r="AN87" s="114"/>
      <c r="AO87" s="114"/>
    </row>
    <row r="88" spans="1:47" x14ac:dyDescent="0.3">
      <c r="A88" s="25">
        <v>4</v>
      </c>
      <c r="B88" s="4" t="s">
        <v>101</v>
      </c>
      <c r="C88" s="6">
        <f>C33*(1/4)*(1/12)</f>
        <v>1041.6666666666665</v>
      </c>
      <c r="D88" s="6">
        <f>$C$88+C89*(1/6)*(1/12)</f>
        <v>1736.1111111111109</v>
      </c>
      <c r="E88" s="6">
        <f>D88</f>
        <v>1736.1111111111109</v>
      </c>
      <c r="F88" s="6">
        <f t="shared" ref="F88:N88" si="31">E88</f>
        <v>1736.1111111111109</v>
      </c>
      <c r="G88" s="6">
        <f t="shared" si="31"/>
        <v>1736.1111111111109</v>
      </c>
      <c r="H88" s="6">
        <f t="shared" si="31"/>
        <v>1736.1111111111109</v>
      </c>
      <c r="I88" s="6">
        <f t="shared" si="31"/>
        <v>1736.1111111111109</v>
      </c>
      <c r="J88" s="6">
        <f t="shared" si="31"/>
        <v>1736.1111111111109</v>
      </c>
      <c r="K88" s="6">
        <f t="shared" si="31"/>
        <v>1736.1111111111109</v>
      </c>
      <c r="L88" s="6">
        <f t="shared" si="31"/>
        <v>1736.1111111111109</v>
      </c>
      <c r="M88" s="6">
        <f t="shared" si="31"/>
        <v>1736.1111111111109</v>
      </c>
      <c r="N88" s="6">
        <f t="shared" si="31"/>
        <v>1736.1111111111109</v>
      </c>
      <c r="O88" s="5">
        <f t="shared" si="23"/>
        <v>20138.888888888887</v>
      </c>
      <c r="Q88" s="52">
        <v>4</v>
      </c>
      <c r="R88" s="4" t="s">
        <v>101</v>
      </c>
      <c r="S88" s="6">
        <f>D88*3</f>
        <v>5208.3333333333321</v>
      </c>
      <c r="T88" s="6">
        <f>S88</f>
        <v>5208.3333333333321</v>
      </c>
      <c r="U88" s="6">
        <f>T88</f>
        <v>5208.3333333333321</v>
      </c>
      <c r="V88" s="6">
        <f>U88</f>
        <v>5208.3333333333321</v>
      </c>
      <c r="W88" s="5">
        <f>SUM(S88:V88)</f>
        <v>20833.333333333328</v>
      </c>
      <c r="X88" s="42"/>
      <c r="Y88" s="52">
        <v>4</v>
      </c>
      <c r="Z88" s="4" t="s">
        <v>101</v>
      </c>
      <c r="AA88" s="6">
        <f>M88*3</f>
        <v>5208.3333333333321</v>
      </c>
      <c r="AB88" s="6">
        <f>AA88</f>
        <v>5208.3333333333321</v>
      </c>
      <c r="AC88" s="6">
        <f t="shared" ref="AC88:AD88" si="32">AB88</f>
        <v>5208.3333333333321</v>
      </c>
      <c r="AD88" s="6">
        <f t="shared" si="32"/>
        <v>5208.3333333333321</v>
      </c>
      <c r="AE88" s="5">
        <f>SUM(AA88:AD88)</f>
        <v>20833.333333333328</v>
      </c>
      <c r="AG88" s="47">
        <v>3</v>
      </c>
      <c r="AH88" s="45" t="s">
        <v>111</v>
      </c>
      <c r="AI88" s="55">
        <v>50000</v>
      </c>
      <c r="AK88" s="114"/>
      <c r="AL88" s="114"/>
      <c r="AM88" s="114"/>
      <c r="AN88" s="114"/>
      <c r="AO88" s="114"/>
    </row>
    <row r="89" spans="1:47" ht="14.4" customHeight="1" x14ac:dyDescent="0.3">
      <c r="A89" s="25">
        <v>5</v>
      </c>
      <c r="B89" s="4" t="s">
        <v>87</v>
      </c>
      <c r="C89" s="6">
        <v>50000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5">
        <f t="shared" si="23"/>
        <v>50000</v>
      </c>
      <c r="Q89" s="52">
        <v>6</v>
      </c>
      <c r="R89" s="4" t="s">
        <v>16</v>
      </c>
      <c r="S89" s="6">
        <f>350000/12*3</f>
        <v>87500</v>
      </c>
      <c r="T89" s="6">
        <f>S89</f>
        <v>87500</v>
      </c>
      <c r="U89" s="6">
        <f t="shared" ref="U89:V89" si="33">T89</f>
        <v>87500</v>
      </c>
      <c r="V89" s="6">
        <f t="shared" si="33"/>
        <v>87500</v>
      </c>
      <c r="W89" s="5">
        <f>SUM(S89:V89)</f>
        <v>350000</v>
      </c>
      <c r="X89" s="42"/>
      <c r="Y89" s="52">
        <v>6</v>
      </c>
      <c r="Z89" s="4" t="s">
        <v>16</v>
      </c>
      <c r="AA89" s="6">
        <f>400000/12*3</f>
        <v>100000</v>
      </c>
      <c r="AB89" s="6">
        <f>AA89</f>
        <v>100000</v>
      </c>
      <c r="AC89" s="6">
        <f t="shared" ref="AC89:AD89" si="34">AB89</f>
        <v>100000</v>
      </c>
      <c r="AD89" s="6">
        <f t="shared" si="34"/>
        <v>100000</v>
      </c>
      <c r="AE89" s="5">
        <f>SUM(AA89:AD89)</f>
        <v>400000</v>
      </c>
      <c r="AG89" s="47">
        <v>4</v>
      </c>
      <c r="AH89" s="1" t="s">
        <v>112</v>
      </c>
      <c r="AI89" s="55">
        <v>900000</v>
      </c>
      <c r="AK89" s="114"/>
      <c r="AL89" s="114"/>
      <c r="AM89" s="114"/>
      <c r="AN89" s="114"/>
      <c r="AO89" s="114"/>
    </row>
    <row r="90" spans="1:47" ht="14.4" customHeight="1" x14ac:dyDescent="0.3">
      <c r="A90" s="25">
        <v>6</v>
      </c>
      <c r="B90" s="4" t="s">
        <v>16</v>
      </c>
      <c r="C90" s="6">
        <f>300000/12</f>
        <v>25000</v>
      </c>
      <c r="D90" s="6">
        <f>$C$90</f>
        <v>25000</v>
      </c>
      <c r="E90" s="6">
        <f t="shared" ref="E90:N90" si="35">$C$90</f>
        <v>25000</v>
      </c>
      <c r="F90" s="6">
        <f t="shared" si="35"/>
        <v>25000</v>
      </c>
      <c r="G90" s="6">
        <f t="shared" si="35"/>
        <v>25000</v>
      </c>
      <c r="H90" s="6">
        <f t="shared" si="35"/>
        <v>25000</v>
      </c>
      <c r="I90" s="6">
        <f t="shared" si="35"/>
        <v>25000</v>
      </c>
      <c r="J90" s="6">
        <f t="shared" si="35"/>
        <v>25000</v>
      </c>
      <c r="K90" s="6">
        <f t="shared" si="35"/>
        <v>25000</v>
      </c>
      <c r="L90" s="6">
        <f t="shared" si="35"/>
        <v>25000</v>
      </c>
      <c r="M90" s="6">
        <f t="shared" si="35"/>
        <v>25000</v>
      </c>
      <c r="N90" s="6">
        <f t="shared" si="35"/>
        <v>25000</v>
      </c>
      <c r="O90" s="5">
        <f t="shared" si="23"/>
        <v>300000</v>
      </c>
      <c r="Q90" s="126" t="s">
        <v>18</v>
      </c>
      <c r="R90" s="127"/>
      <c r="S90" s="127"/>
      <c r="T90" s="127"/>
      <c r="U90" s="127"/>
      <c r="V90" s="128"/>
      <c r="W90" s="1"/>
      <c r="X90" s="42"/>
      <c r="Y90" s="126" t="s">
        <v>18</v>
      </c>
      <c r="Z90" s="127"/>
      <c r="AA90" s="127"/>
      <c r="AB90" s="127"/>
      <c r="AC90" s="127"/>
      <c r="AD90" s="128"/>
      <c r="AE90" s="1"/>
      <c r="AG90" s="47">
        <v>5</v>
      </c>
      <c r="AH90" s="1" t="s">
        <v>77</v>
      </c>
      <c r="AI90" s="54">
        <v>87000</v>
      </c>
      <c r="AK90" s="114"/>
      <c r="AL90" s="114"/>
      <c r="AM90" s="114"/>
      <c r="AN90" s="114"/>
      <c r="AO90" s="114"/>
    </row>
    <row r="91" spans="1:47" x14ac:dyDescent="0.3">
      <c r="A91" s="123" t="s">
        <v>18</v>
      </c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5"/>
      <c r="O91" s="31"/>
      <c r="Q91" s="52">
        <v>6</v>
      </c>
      <c r="R91" s="4" t="s">
        <v>19</v>
      </c>
      <c r="S91" s="6">
        <f>700000/12*3</f>
        <v>175000</v>
      </c>
      <c r="T91" s="6">
        <f t="shared" ref="T91:V91" si="36">700000/12*3</f>
        <v>175000</v>
      </c>
      <c r="U91" s="6">
        <f t="shared" si="36"/>
        <v>175000</v>
      </c>
      <c r="V91" s="6">
        <f t="shared" si="36"/>
        <v>175000</v>
      </c>
      <c r="W91" s="5">
        <f>SUM(S91:V91)</f>
        <v>700000</v>
      </c>
      <c r="X91" s="56"/>
      <c r="Y91" s="52">
        <v>6</v>
      </c>
      <c r="Z91" s="4" t="s">
        <v>19</v>
      </c>
      <c r="AA91" s="6">
        <f>1000000/12*3</f>
        <v>250000</v>
      </c>
      <c r="AB91" s="6">
        <f t="shared" ref="AB91:AD91" si="37">1000000/12*3</f>
        <v>250000</v>
      </c>
      <c r="AC91" s="6">
        <f t="shared" si="37"/>
        <v>250000</v>
      </c>
      <c r="AD91" s="6">
        <f t="shared" si="37"/>
        <v>250000</v>
      </c>
      <c r="AE91" s="5">
        <f>SUM(AA91:AD91)</f>
        <v>1000000</v>
      </c>
      <c r="AG91" s="47">
        <v>6</v>
      </c>
      <c r="AH91" s="1" t="s">
        <v>80</v>
      </c>
      <c r="AI91" s="54">
        <v>30000</v>
      </c>
      <c r="AK91" s="114"/>
      <c r="AL91" s="114"/>
      <c r="AM91" s="114"/>
      <c r="AN91" s="114"/>
      <c r="AO91" s="114"/>
    </row>
    <row r="92" spans="1:47" x14ac:dyDescent="0.3">
      <c r="A92" s="25">
        <v>6</v>
      </c>
      <c r="B92" s="4" t="s">
        <v>19</v>
      </c>
      <c r="C92" s="6">
        <f>400000/12</f>
        <v>33333.333333333336</v>
      </c>
      <c r="D92" s="6">
        <f>$C$92</f>
        <v>33333.333333333336</v>
      </c>
      <c r="E92" s="6">
        <f t="shared" ref="E92:N92" si="38">$C$92</f>
        <v>33333.333333333336</v>
      </c>
      <c r="F92" s="6">
        <f t="shared" si="38"/>
        <v>33333.333333333336</v>
      </c>
      <c r="G92" s="6">
        <f t="shared" si="38"/>
        <v>33333.333333333336</v>
      </c>
      <c r="H92" s="6">
        <f t="shared" si="38"/>
        <v>33333.333333333336</v>
      </c>
      <c r="I92" s="6">
        <f t="shared" si="38"/>
        <v>33333.333333333336</v>
      </c>
      <c r="J92" s="6">
        <f t="shared" si="38"/>
        <v>33333.333333333336</v>
      </c>
      <c r="K92" s="6">
        <f t="shared" si="38"/>
        <v>33333.333333333336</v>
      </c>
      <c r="L92" s="6">
        <f t="shared" si="38"/>
        <v>33333.333333333336</v>
      </c>
      <c r="M92" s="6">
        <f t="shared" si="38"/>
        <v>33333.333333333336</v>
      </c>
      <c r="N92" s="6">
        <f t="shared" si="38"/>
        <v>33333.333333333336</v>
      </c>
      <c r="O92" s="5">
        <f>SUM(C92:N92)</f>
        <v>399999.99999999994</v>
      </c>
      <c r="Q92" s="52">
        <v>7</v>
      </c>
      <c r="R92" s="4" t="s">
        <v>102</v>
      </c>
      <c r="S92" s="6">
        <f>40000*3</f>
        <v>120000</v>
      </c>
      <c r="T92" s="6">
        <f t="shared" ref="T92:V92" si="39">40000*3</f>
        <v>120000</v>
      </c>
      <c r="U92" s="6">
        <f t="shared" si="39"/>
        <v>120000</v>
      </c>
      <c r="V92" s="6">
        <f t="shared" si="39"/>
        <v>120000</v>
      </c>
      <c r="W92" s="5">
        <f>SUM(S92:V92)</f>
        <v>480000</v>
      </c>
      <c r="X92" s="42"/>
      <c r="Y92" s="52">
        <v>7</v>
      </c>
      <c r="Z92" s="4" t="s">
        <v>102</v>
      </c>
      <c r="AA92" s="6">
        <f>50000*3</f>
        <v>150000</v>
      </c>
      <c r="AB92" s="6">
        <f t="shared" ref="AB92:AD92" si="40">50000*3</f>
        <v>150000</v>
      </c>
      <c r="AC92" s="6">
        <f t="shared" si="40"/>
        <v>150000</v>
      </c>
      <c r="AD92" s="6">
        <f t="shared" si="40"/>
        <v>150000</v>
      </c>
      <c r="AE92" s="5">
        <f>SUM(AA92:AD92)</f>
        <v>600000</v>
      </c>
      <c r="AG92" s="131" t="s">
        <v>18</v>
      </c>
      <c r="AH92" s="131"/>
      <c r="AI92" s="131"/>
      <c r="AK92" s="114"/>
      <c r="AL92" s="114"/>
      <c r="AM92" s="114"/>
      <c r="AN92" s="114"/>
      <c r="AO92" s="114"/>
    </row>
    <row r="93" spans="1:47" x14ac:dyDescent="0.3">
      <c r="A93" s="25">
        <v>7</v>
      </c>
      <c r="B93" s="4" t="s">
        <v>102</v>
      </c>
      <c r="C93" s="6">
        <v>30000</v>
      </c>
      <c r="D93" s="6">
        <v>30000</v>
      </c>
      <c r="E93" s="6">
        <v>30000</v>
      </c>
      <c r="F93" s="6">
        <v>30000</v>
      </c>
      <c r="G93" s="6">
        <v>30000</v>
      </c>
      <c r="H93" s="6">
        <v>30000</v>
      </c>
      <c r="I93" s="6">
        <v>30000</v>
      </c>
      <c r="J93" s="6">
        <v>30000</v>
      </c>
      <c r="K93" s="6">
        <v>30000</v>
      </c>
      <c r="L93" s="6">
        <v>30000</v>
      </c>
      <c r="M93" s="6">
        <v>30000</v>
      </c>
      <c r="N93" s="6">
        <v>30000</v>
      </c>
      <c r="O93" s="5">
        <f>SUM(C93:N93)</f>
        <v>360000</v>
      </c>
      <c r="P93" t="s">
        <v>45</v>
      </c>
      <c r="Q93" s="52">
        <v>8</v>
      </c>
      <c r="R93" s="4" t="s">
        <v>100</v>
      </c>
      <c r="S93" s="6">
        <f>300000/12*3</f>
        <v>75000</v>
      </c>
      <c r="T93" s="6">
        <f t="shared" ref="T93:V93" si="41">300000/12*3</f>
        <v>75000</v>
      </c>
      <c r="U93" s="6">
        <f t="shared" si="41"/>
        <v>75000</v>
      </c>
      <c r="V93" s="6">
        <f t="shared" si="41"/>
        <v>75000</v>
      </c>
      <c r="W93" s="5">
        <f>SUM(S93:V93)</f>
        <v>300000</v>
      </c>
      <c r="X93" s="42"/>
      <c r="Y93" s="52">
        <v>8</v>
      </c>
      <c r="Z93" s="4" t="s">
        <v>100</v>
      </c>
      <c r="AA93" s="6">
        <f>450000/12*3</f>
        <v>112500</v>
      </c>
      <c r="AB93" s="6">
        <f t="shared" ref="AB93:AD93" si="42">450000/12*3</f>
        <v>112500</v>
      </c>
      <c r="AC93" s="6">
        <f t="shared" si="42"/>
        <v>112500</v>
      </c>
      <c r="AD93" s="6">
        <f t="shared" si="42"/>
        <v>112500</v>
      </c>
      <c r="AE93" s="5">
        <f>SUM(AA93:AD93)</f>
        <v>450000</v>
      </c>
      <c r="AG93" s="47">
        <v>7</v>
      </c>
      <c r="AH93" s="1" t="s">
        <v>81</v>
      </c>
      <c r="AI93" s="55">
        <v>25000</v>
      </c>
      <c r="AK93" s="114"/>
      <c r="AL93" s="114"/>
      <c r="AM93" s="114"/>
      <c r="AN93" s="114"/>
      <c r="AO93" s="114"/>
    </row>
    <row r="94" spans="1:47" ht="14.4" customHeight="1" x14ac:dyDescent="0.3">
      <c r="A94" s="25">
        <v>8</v>
      </c>
      <c r="B94" s="4" t="s">
        <v>100</v>
      </c>
      <c r="C94" s="6">
        <f>150000/12</f>
        <v>12500</v>
      </c>
      <c r="D94" s="6">
        <f>$C$94</f>
        <v>12500</v>
      </c>
      <c r="E94" s="6">
        <f t="shared" ref="E94:N94" si="43">$C$94</f>
        <v>12500</v>
      </c>
      <c r="F94" s="6">
        <f t="shared" si="43"/>
        <v>12500</v>
      </c>
      <c r="G94" s="6">
        <f t="shared" si="43"/>
        <v>12500</v>
      </c>
      <c r="H94" s="6">
        <f t="shared" si="43"/>
        <v>12500</v>
      </c>
      <c r="I94" s="6">
        <f t="shared" si="43"/>
        <v>12500</v>
      </c>
      <c r="J94" s="6">
        <f t="shared" si="43"/>
        <v>12500</v>
      </c>
      <c r="K94" s="6">
        <f t="shared" si="43"/>
        <v>12500</v>
      </c>
      <c r="L94" s="6">
        <f t="shared" si="43"/>
        <v>12500</v>
      </c>
      <c r="M94" s="6">
        <f t="shared" si="43"/>
        <v>12500</v>
      </c>
      <c r="N94" s="6">
        <f t="shared" si="43"/>
        <v>12500</v>
      </c>
      <c r="O94" s="5">
        <f>SUM(C94:N94)</f>
        <v>150000</v>
      </c>
      <c r="Q94" s="123" t="s">
        <v>20</v>
      </c>
      <c r="R94" s="124"/>
      <c r="S94" s="124"/>
      <c r="T94" s="124"/>
      <c r="U94" s="124"/>
      <c r="V94" s="125"/>
      <c r="W94" s="1"/>
      <c r="X94" s="42"/>
      <c r="Y94" s="123" t="s">
        <v>20</v>
      </c>
      <c r="Z94" s="124"/>
      <c r="AA94" s="124"/>
      <c r="AB94" s="124"/>
      <c r="AC94" s="124"/>
      <c r="AD94" s="125"/>
      <c r="AE94" s="1"/>
      <c r="AG94" s="47">
        <v>8</v>
      </c>
      <c r="AH94" s="1" t="s">
        <v>83</v>
      </c>
      <c r="AI94" s="54">
        <v>50000</v>
      </c>
      <c r="AK94" s="114"/>
      <c r="AL94" s="114"/>
      <c r="AM94" s="114"/>
      <c r="AN94" s="114"/>
      <c r="AO94" s="114"/>
    </row>
    <row r="95" spans="1:47" ht="15" customHeight="1" x14ac:dyDescent="0.3">
      <c r="A95" s="123" t="s">
        <v>20</v>
      </c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5"/>
      <c r="O95" s="31"/>
      <c r="Q95" s="52">
        <v>9</v>
      </c>
      <c r="R95" s="4" t="s">
        <v>14</v>
      </c>
      <c r="S95" s="6">
        <f>7000*3</f>
        <v>21000</v>
      </c>
      <c r="T95" s="6">
        <f>S95</f>
        <v>21000</v>
      </c>
      <c r="U95" s="6">
        <f t="shared" ref="U95:V95" si="44">T95</f>
        <v>21000</v>
      </c>
      <c r="V95" s="6">
        <f t="shared" si="44"/>
        <v>21000</v>
      </c>
      <c r="W95" s="5">
        <f>SUM(S95:V95)</f>
        <v>84000</v>
      </c>
      <c r="X95" s="40"/>
      <c r="Y95" s="52">
        <v>9</v>
      </c>
      <c r="Z95" s="4" t="s">
        <v>14</v>
      </c>
      <c r="AA95" s="6">
        <f>9000*3</f>
        <v>27000</v>
      </c>
      <c r="AB95" s="6">
        <f>AA95</f>
        <v>27000</v>
      </c>
      <c r="AC95" s="6">
        <f t="shared" ref="AC95:AD95" si="45">AB95</f>
        <v>27000</v>
      </c>
      <c r="AD95" s="6">
        <f t="shared" si="45"/>
        <v>27000</v>
      </c>
      <c r="AE95" s="5">
        <f>SUM(AA95:AD95)</f>
        <v>108000</v>
      </c>
      <c r="AG95" s="47">
        <v>9</v>
      </c>
      <c r="AH95" s="1" t="s">
        <v>82</v>
      </c>
      <c r="AI95" s="54">
        <v>25000</v>
      </c>
      <c r="AK95" s="114"/>
      <c r="AL95" s="114"/>
      <c r="AM95" s="114"/>
      <c r="AN95" s="114"/>
      <c r="AO95" s="114"/>
    </row>
    <row r="96" spans="1:47" ht="15" customHeight="1" x14ac:dyDescent="0.3">
      <c r="A96" s="25">
        <v>9</v>
      </c>
      <c r="B96" s="4" t="s">
        <v>14</v>
      </c>
      <c r="C96" s="6">
        <v>5000</v>
      </c>
      <c r="D96" s="6">
        <v>5000</v>
      </c>
      <c r="E96" s="6">
        <v>5000</v>
      </c>
      <c r="F96" s="6">
        <v>5000</v>
      </c>
      <c r="G96" s="6">
        <v>5000</v>
      </c>
      <c r="H96" s="6">
        <v>5000</v>
      </c>
      <c r="I96" s="6">
        <v>5000</v>
      </c>
      <c r="J96" s="6">
        <v>5000</v>
      </c>
      <c r="K96" s="6">
        <v>5000</v>
      </c>
      <c r="L96" s="6">
        <v>5000</v>
      </c>
      <c r="M96" s="6">
        <v>5000</v>
      </c>
      <c r="N96" s="6">
        <v>5000</v>
      </c>
      <c r="O96" s="5">
        <f>SUM(C96:N96)</f>
        <v>60000</v>
      </c>
      <c r="Q96" s="52">
        <v>10</v>
      </c>
      <c r="R96" s="4" t="s">
        <v>106</v>
      </c>
      <c r="S96" s="6">
        <f>210000/12*3</f>
        <v>52500</v>
      </c>
      <c r="T96" s="6">
        <f t="shared" ref="T96:V96" si="46">210000/12*3</f>
        <v>52500</v>
      </c>
      <c r="U96" s="6">
        <f t="shared" si="46"/>
        <v>52500</v>
      </c>
      <c r="V96" s="6">
        <f t="shared" si="46"/>
        <v>52500</v>
      </c>
      <c r="W96" s="5">
        <f>SUM(S96:V96)</f>
        <v>210000</v>
      </c>
      <c r="X96" s="42"/>
      <c r="Y96" s="52">
        <v>10</v>
      </c>
      <c r="Z96" s="4" t="s">
        <v>106</v>
      </c>
      <c r="AA96" s="6">
        <f>230000/12*3</f>
        <v>57500</v>
      </c>
      <c r="AB96" s="6">
        <f t="shared" ref="AB96:AD96" si="47">230000/12*3</f>
        <v>57500</v>
      </c>
      <c r="AC96" s="6">
        <f t="shared" si="47"/>
        <v>57500</v>
      </c>
      <c r="AD96" s="6">
        <f t="shared" si="47"/>
        <v>57500</v>
      </c>
      <c r="AE96" s="5">
        <f>SUM(AA96:AD96)</f>
        <v>230000</v>
      </c>
      <c r="AG96" s="131" t="s">
        <v>108</v>
      </c>
      <c r="AH96" s="131"/>
      <c r="AI96" s="131"/>
      <c r="AK96" s="114"/>
      <c r="AL96" s="114"/>
      <c r="AM96" s="114"/>
      <c r="AN96" s="114"/>
      <c r="AO96" s="114"/>
    </row>
    <row r="97" spans="1:41" ht="15" customHeight="1" x14ac:dyDescent="0.3">
      <c r="A97" s="25">
        <v>10</v>
      </c>
      <c r="B97" s="4" t="s">
        <v>106</v>
      </c>
      <c r="C97" s="6">
        <v>15000</v>
      </c>
      <c r="D97" s="6">
        <v>15000</v>
      </c>
      <c r="E97" s="6">
        <v>15000</v>
      </c>
      <c r="F97" s="6">
        <v>15000</v>
      </c>
      <c r="G97" s="6">
        <v>15000</v>
      </c>
      <c r="H97" s="6">
        <v>15000</v>
      </c>
      <c r="I97" s="6">
        <v>15000</v>
      </c>
      <c r="J97" s="6">
        <v>15000</v>
      </c>
      <c r="K97" s="6">
        <v>15000</v>
      </c>
      <c r="L97" s="6">
        <v>15000</v>
      </c>
      <c r="M97" s="6">
        <v>15000</v>
      </c>
      <c r="N97" s="6">
        <v>15000</v>
      </c>
      <c r="O97" s="5">
        <f>SUM(C97:N97)</f>
        <v>180000</v>
      </c>
      <c r="Q97" s="52">
        <v>11</v>
      </c>
      <c r="R97" s="4" t="s">
        <v>21</v>
      </c>
      <c r="S97" s="6">
        <f>(S85+S86+S87)*0.33</f>
        <v>159637.5</v>
      </c>
      <c r="T97" s="6">
        <f t="shared" ref="T97:V97" si="48">(T85+T86+T87)*0.33</f>
        <v>159637.5</v>
      </c>
      <c r="U97" s="6">
        <f t="shared" si="48"/>
        <v>159637.5</v>
      </c>
      <c r="V97" s="6">
        <f t="shared" si="48"/>
        <v>159637.5</v>
      </c>
      <c r="W97" s="5">
        <f>SUM(S97:V97)</f>
        <v>638550</v>
      </c>
      <c r="X97" s="42"/>
      <c r="Y97" s="52">
        <v>11</v>
      </c>
      <c r="Z97" s="4" t="s">
        <v>21</v>
      </c>
      <c r="AA97" s="6">
        <f>(AA85+AA86+AA87)*0.33</f>
        <v>252450</v>
      </c>
      <c r="AB97" s="6">
        <f t="shared" ref="AB97:AD97" si="49">(AB85+AB86+AB87)*0.33</f>
        <v>252450</v>
      </c>
      <c r="AC97" s="6">
        <f t="shared" si="49"/>
        <v>252450</v>
      </c>
      <c r="AD97" s="6">
        <f t="shared" si="49"/>
        <v>252450</v>
      </c>
      <c r="AE97" s="5">
        <f>SUM(AA97:AD97)</f>
        <v>1009800</v>
      </c>
      <c r="AG97" s="47">
        <v>10</v>
      </c>
      <c r="AH97" s="1" t="s">
        <v>113</v>
      </c>
      <c r="AI97" s="55">
        <v>30000</v>
      </c>
      <c r="AJ97" s="21"/>
      <c r="AK97" s="64"/>
      <c r="AL97" s="64"/>
      <c r="AM97" s="64"/>
      <c r="AN97" s="64"/>
      <c r="AO97" s="64"/>
    </row>
    <row r="98" spans="1:41" ht="14.4" customHeight="1" x14ac:dyDescent="0.3">
      <c r="A98" s="25">
        <v>11</v>
      </c>
      <c r="B98" s="4" t="s">
        <v>21</v>
      </c>
      <c r="C98" s="6">
        <f>(C85+C86+C87)*0.33</f>
        <v>32010</v>
      </c>
      <c r="D98" s="6">
        <f t="shared" ref="D98:N98" si="50">(D85+D86+D87)*0.33</f>
        <v>32010</v>
      </c>
      <c r="E98" s="6">
        <f t="shared" si="50"/>
        <v>32010</v>
      </c>
      <c r="F98" s="6">
        <f t="shared" si="50"/>
        <v>32010</v>
      </c>
      <c r="G98" s="6">
        <f t="shared" si="50"/>
        <v>32010</v>
      </c>
      <c r="H98" s="6">
        <f t="shared" si="50"/>
        <v>32010</v>
      </c>
      <c r="I98" s="6">
        <f t="shared" si="50"/>
        <v>32010</v>
      </c>
      <c r="J98" s="6">
        <f t="shared" si="50"/>
        <v>32010</v>
      </c>
      <c r="K98" s="6">
        <f t="shared" si="50"/>
        <v>32010</v>
      </c>
      <c r="L98" s="6">
        <f t="shared" si="50"/>
        <v>32010</v>
      </c>
      <c r="M98" s="6">
        <f t="shared" si="50"/>
        <v>32010</v>
      </c>
      <c r="N98" s="6">
        <f t="shared" si="50"/>
        <v>32010</v>
      </c>
      <c r="O98" s="5">
        <f>SUM(C98:N98)</f>
        <v>384120</v>
      </c>
      <c r="Q98" s="52">
        <v>12</v>
      </c>
      <c r="R98" s="4" t="s">
        <v>103</v>
      </c>
      <c r="S98" s="6">
        <f>35000*3</f>
        <v>105000</v>
      </c>
      <c r="T98" s="6">
        <f>S98</f>
        <v>105000</v>
      </c>
      <c r="U98" s="6">
        <f t="shared" ref="U98:V98" si="51">T98</f>
        <v>105000</v>
      </c>
      <c r="V98" s="6">
        <f t="shared" si="51"/>
        <v>105000</v>
      </c>
      <c r="W98" s="5">
        <f>SUM(S98:V98)</f>
        <v>420000</v>
      </c>
      <c r="X98" s="42"/>
      <c r="Y98" s="52">
        <v>12</v>
      </c>
      <c r="Z98" s="4" t="s">
        <v>103</v>
      </c>
      <c r="AA98" s="6">
        <f>40000*3</f>
        <v>120000</v>
      </c>
      <c r="AB98" s="6">
        <f>AA98</f>
        <v>120000</v>
      </c>
      <c r="AC98" s="6">
        <f t="shared" ref="AC98:AD98" si="52">AB98</f>
        <v>120000</v>
      </c>
      <c r="AD98" s="6">
        <f t="shared" si="52"/>
        <v>120000</v>
      </c>
      <c r="AE98" s="5">
        <f>SUM(AA98:AD98)</f>
        <v>480000</v>
      </c>
      <c r="AG98" s="47">
        <v>11</v>
      </c>
      <c r="AH98" s="1" t="s">
        <v>115</v>
      </c>
      <c r="AI98" s="55">
        <v>12000</v>
      </c>
    </row>
    <row r="99" spans="1:41" x14ac:dyDescent="0.3">
      <c r="A99" s="25">
        <v>12</v>
      </c>
      <c r="B99" s="4" t="s">
        <v>103</v>
      </c>
      <c r="C99" s="6">
        <f>30000</f>
        <v>30000</v>
      </c>
      <c r="D99" s="6">
        <f>30000</f>
        <v>30000</v>
      </c>
      <c r="E99" s="6">
        <f>30000</f>
        <v>30000</v>
      </c>
      <c r="F99" s="6">
        <f>30000</f>
        <v>30000</v>
      </c>
      <c r="G99" s="6">
        <f>30000</f>
        <v>30000</v>
      </c>
      <c r="H99" s="6">
        <f>30000</f>
        <v>30000</v>
      </c>
      <c r="I99" s="6">
        <f>30000</f>
        <v>30000</v>
      </c>
      <c r="J99" s="6">
        <f>30000</f>
        <v>30000</v>
      </c>
      <c r="K99" s="6">
        <f>30000</f>
        <v>30000</v>
      </c>
      <c r="L99" s="6">
        <f>30000</f>
        <v>30000</v>
      </c>
      <c r="M99" s="6">
        <f>30000</f>
        <v>30000</v>
      </c>
      <c r="N99" s="6">
        <f>30000</f>
        <v>30000</v>
      </c>
      <c r="O99" s="5">
        <f>SUM(C99:N99)</f>
        <v>360000</v>
      </c>
      <c r="Q99" s="123" t="s">
        <v>22</v>
      </c>
      <c r="R99" s="124"/>
      <c r="S99" s="124"/>
      <c r="T99" s="124"/>
      <c r="U99" s="124"/>
      <c r="V99" s="125"/>
      <c r="W99" s="59"/>
      <c r="X99" s="42"/>
      <c r="Y99" s="123" t="s">
        <v>22</v>
      </c>
      <c r="Z99" s="124"/>
      <c r="AA99" s="124"/>
      <c r="AB99" s="124"/>
      <c r="AC99" s="124"/>
      <c r="AD99" s="125"/>
      <c r="AE99" s="59"/>
      <c r="AG99" s="47">
        <v>12</v>
      </c>
      <c r="AH99" s="1" t="s">
        <v>114</v>
      </c>
      <c r="AI99" s="55">
        <v>500000</v>
      </c>
    </row>
    <row r="100" spans="1:41" ht="14.4" customHeight="1" x14ac:dyDescent="0.3">
      <c r="A100" s="123" t="s">
        <v>22</v>
      </c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5"/>
      <c r="O100" s="31"/>
      <c r="Q100" s="52">
        <v>13</v>
      </c>
      <c r="R100" s="4" t="s">
        <v>105</v>
      </c>
      <c r="S100" s="6">
        <f>3200*12</f>
        <v>38400</v>
      </c>
      <c r="T100" s="6">
        <v>0</v>
      </c>
      <c r="U100" s="6">
        <v>0</v>
      </c>
      <c r="V100" s="6">
        <v>0</v>
      </c>
      <c r="W100" s="5">
        <f>SUM(S100:V100)</f>
        <v>38400</v>
      </c>
      <c r="X100" s="40"/>
      <c r="Y100" s="52">
        <v>13</v>
      </c>
      <c r="Z100" s="4" t="s">
        <v>105</v>
      </c>
      <c r="AA100" s="6">
        <f>3400*12</f>
        <v>40800</v>
      </c>
      <c r="AB100" s="6">
        <v>0</v>
      </c>
      <c r="AC100" s="6">
        <v>0</v>
      </c>
      <c r="AD100" s="6">
        <v>0</v>
      </c>
      <c r="AE100" s="5">
        <f>SUM(AA100:AD100)</f>
        <v>40800</v>
      </c>
      <c r="AG100" s="47">
        <v>13</v>
      </c>
      <c r="AH100" s="57" t="s">
        <v>138</v>
      </c>
      <c r="AI100" s="55">
        <v>300000</v>
      </c>
    </row>
    <row r="101" spans="1:41" ht="15" customHeight="1" x14ac:dyDescent="0.3">
      <c r="A101" s="25">
        <v>13</v>
      </c>
      <c r="B101" s="4" t="s">
        <v>105</v>
      </c>
      <c r="C101" s="6">
        <f>2975*12</f>
        <v>35700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5">
        <f>SUM(C101:N101)</f>
        <v>35700</v>
      </c>
      <c r="Q101" s="129" t="s">
        <v>49</v>
      </c>
      <c r="R101" s="130"/>
      <c r="S101" s="5">
        <f>SUM(S85:S89)+SUM(S91:S93)+SUM(S95:S98)+SUM(S100:S100)</f>
        <v>1322995.8333333333</v>
      </c>
      <c r="T101" s="5">
        <f>SUM(T85:T89)+SUM(T91:T93)+SUM(T95:T98)+SUM(T100:T100)</f>
        <v>1284595.8333333333</v>
      </c>
      <c r="U101" s="5">
        <f>SUM(U85:U89)+SUM(U91:U93)+SUM(U95:U98)+SUM(U100:U100)</f>
        <v>1284595.8333333333</v>
      </c>
      <c r="V101" s="5">
        <f>SUM(V85:V89)+SUM(V91:V93)+SUM(V95:V98)+SUM(V100:V100)</f>
        <v>1284595.8333333333</v>
      </c>
      <c r="W101" s="34">
        <f>SUM(S101:V101)</f>
        <v>5176783.333333333</v>
      </c>
      <c r="X101" s="42"/>
      <c r="Y101" s="129" t="s">
        <v>49</v>
      </c>
      <c r="Z101" s="130"/>
      <c r="AA101" s="5">
        <f>SUM(AA85:AA89)+SUM(AA91:AA93)+SUM(AA95:AA98)+SUM(AA100:AA100)</f>
        <v>1880458.3333333335</v>
      </c>
      <c r="AB101" s="5">
        <f>SUM(AB85:AB89)+SUM(AB91:AB93)+SUM(AB95:AB98)+SUM(AB100:AB100)</f>
        <v>1839658.3333333335</v>
      </c>
      <c r="AC101" s="5">
        <f>SUM(AC85:AC89)+SUM(AC91:AC93)+SUM(AC95:AC98)+SUM(AC100:AC100)</f>
        <v>1839658.3333333335</v>
      </c>
      <c r="AD101" s="5">
        <f>SUM(AD85:AD89)+SUM(AD91:AD93)+SUM(AD95:AD98)+SUM(AD100:AD100)</f>
        <v>1839658.3333333335</v>
      </c>
      <c r="AE101" s="34">
        <f>SUM(AA101:AD101)</f>
        <v>7399433.333333334</v>
      </c>
      <c r="AG101" s="129" t="s">
        <v>23</v>
      </c>
      <c r="AH101" s="130"/>
      <c r="AI101" s="46">
        <f>SUM(AI85)+SUM(AI87:AI91)+SUM(AI93:AI95)+SUM(AI97:AI100)</f>
        <v>2195000</v>
      </c>
    </row>
    <row r="102" spans="1:41" ht="15" customHeight="1" x14ac:dyDescent="0.3">
      <c r="A102" s="129" t="s">
        <v>23</v>
      </c>
      <c r="B102" s="130"/>
      <c r="C102" s="5">
        <f t="shared" ref="C102:N102" si="53">SUM(C85:C90)+SUM(C92:C94)+SUM(C96:C99)+SUM(C101:C101)</f>
        <v>366585</v>
      </c>
      <c r="D102" s="5">
        <f t="shared" si="53"/>
        <v>281579.44444444444</v>
      </c>
      <c r="E102" s="5">
        <f t="shared" si="53"/>
        <v>281579.44444444444</v>
      </c>
      <c r="F102" s="5">
        <f t="shared" si="53"/>
        <v>281579.44444444444</v>
      </c>
      <c r="G102" s="5">
        <f t="shared" si="53"/>
        <v>281579.44444444444</v>
      </c>
      <c r="H102" s="5">
        <f t="shared" si="53"/>
        <v>281579.44444444444</v>
      </c>
      <c r="I102" s="5">
        <f t="shared" si="53"/>
        <v>281579.44444444444</v>
      </c>
      <c r="J102" s="5">
        <f t="shared" si="53"/>
        <v>281579.44444444444</v>
      </c>
      <c r="K102" s="5">
        <f t="shared" si="53"/>
        <v>281579.44444444444</v>
      </c>
      <c r="L102" s="5">
        <f t="shared" si="53"/>
        <v>281579.44444444444</v>
      </c>
      <c r="M102" s="5">
        <f t="shared" si="53"/>
        <v>281579.44444444444</v>
      </c>
      <c r="N102" s="5">
        <f t="shared" si="53"/>
        <v>281579.44444444444</v>
      </c>
      <c r="O102" s="34">
        <f>SUM(C102:N102)</f>
        <v>3463958.8888888895</v>
      </c>
      <c r="W102" s="29"/>
      <c r="X102" s="42"/>
    </row>
    <row r="103" spans="1:41" ht="14.4" customHeight="1" x14ac:dyDescent="0.3">
      <c r="W103" s="29"/>
      <c r="X103" s="29"/>
      <c r="AG103" s="12" t="s">
        <v>51</v>
      </c>
      <c r="AI103" s="8" t="s">
        <v>5</v>
      </c>
      <c r="AK103" s="113" t="s">
        <v>153</v>
      </c>
      <c r="AL103" s="114"/>
      <c r="AM103" s="114"/>
      <c r="AN103" s="114"/>
      <c r="AO103" s="114"/>
    </row>
    <row r="104" spans="1:41" ht="15" customHeight="1" x14ac:dyDescent="0.3">
      <c r="A104" s="12" t="s">
        <v>46</v>
      </c>
      <c r="C104" s="8" t="s">
        <v>5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Q104" s="12" t="s">
        <v>47</v>
      </c>
      <c r="S104" s="8" t="s">
        <v>5</v>
      </c>
      <c r="T104" s="8"/>
      <c r="U104" s="8"/>
      <c r="V104" s="8"/>
      <c r="W104" s="8"/>
      <c r="X104" s="29"/>
      <c r="Y104" s="12" t="s">
        <v>84</v>
      </c>
      <c r="AA104" s="8" t="s">
        <v>5</v>
      </c>
      <c r="AB104" s="8"/>
      <c r="AC104" s="8"/>
      <c r="AD104" s="8"/>
      <c r="AE104" s="8"/>
      <c r="AG104" s="52" t="s">
        <v>0</v>
      </c>
      <c r="AH104" s="52" t="s">
        <v>15</v>
      </c>
      <c r="AI104" s="52" t="s">
        <v>24</v>
      </c>
      <c r="AK104" s="114"/>
      <c r="AL104" s="114"/>
      <c r="AM104" s="114"/>
      <c r="AN104" s="114"/>
      <c r="AO104" s="114"/>
    </row>
    <row r="105" spans="1:41" ht="14.4" customHeight="1" x14ac:dyDescent="0.3">
      <c r="A105" s="25" t="s">
        <v>0</v>
      </c>
      <c r="B105" s="25" t="s">
        <v>15</v>
      </c>
      <c r="C105" s="37" t="s">
        <v>88</v>
      </c>
      <c r="D105" s="37" t="s">
        <v>89</v>
      </c>
      <c r="E105" s="37" t="s">
        <v>90</v>
      </c>
      <c r="F105" s="37" t="s">
        <v>91</v>
      </c>
      <c r="G105" s="37" t="s">
        <v>92</v>
      </c>
      <c r="H105" s="37" t="s">
        <v>93</v>
      </c>
      <c r="I105" s="37" t="s">
        <v>94</v>
      </c>
      <c r="J105" s="37" t="s">
        <v>95</v>
      </c>
      <c r="K105" s="37" t="s">
        <v>96</v>
      </c>
      <c r="L105" s="37" t="s">
        <v>97</v>
      </c>
      <c r="M105" s="37" t="s">
        <v>98</v>
      </c>
      <c r="N105" s="37" t="s">
        <v>99</v>
      </c>
      <c r="O105" s="26" t="s">
        <v>7</v>
      </c>
      <c r="Q105" s="52" t="s">
        <v>0</v>
      </c>
      <c r="R105" s="52" t="s">
        <v>15</v>
      </c>
      <c r="S105" s="52" t="s">
        <v>139</v>
      </c>
      <c r="T105" s="52" t="s">
        <v>140</v>
      </c>
      <c r="U105" s="52" t="s">
        <v>141</v>
      </c>
      <c r="V105" s="52" t="s">
        <v>142</v>
      </c>
      <c r="W105" s="53" t="s">
        <v>7</v>
      </c>
      <c r="X105" s="29"/>
      <c r="Y105" s="52" t="s">
        <v>0</v>
      </c>
      <c r="Z105" s="52" t="s">
        <v>15</v>
      </c>
      <c r="AA105" s="52" t="s">
        <v>139</v>
      </c>
      <c r="AB105" s="52" t="s">
        <v>140</v>
      </c>
      <c r="AC105" s="52" t="s">
        <v>141</v>
      </c>
      <c r="AD105" s="52" t="s">
        <v>142</v>
      </c>
      <c r="AE105" s="53" t="s">
        <v>7</v>
      </c>
      <c r="AG105" s="131" t="s">
        <v>22</v>
      </c>
      <c r="AH105" s="131"/>
      <c r="AI105" s="131"/>
      <c r="AK105" s="114"/>
      <c r="AL105" s="114"/>
      <c r="AM105" s="114"/>
      <c r="AN105" s="114"/>
      <c r="AO105" s="114"/>
    </row>
    <row r="106" spans="1:41" x14ac:dyDescent="0.3">
      <c r="A106" s="132" t="s">
        <v>17</v>
      </c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4"/>
      <c r="Q106" s="123" t="s">
        <v>17</v>
      </c>
      <c r="R106" s="124"/>
      <c r="S106" s="124"/>
      <c r="T106" s="124"/>
      <c r="U106" s="124"/>
      <c r="V106" s="125"/>
      <c r="W106" s="5"/>
      <c r="X106" s="29"/>
      <c r="Y106" s="123" t="s">
        <v>17</v>
      </c>
      <c r="Z106" s="124"/>
      <c r="AA106" s="124"/>
      <c r="AB106" s="124"/>
      <c r="AC106" s="124"/>
      <c r="AD106" s="125"/>
      <c r="AE106" s="5"/>
      <c r="AG106" s="52">
        <v>1</v>
      </c>
      <c r="AH106" s="1" t="s">
        <v>109</v>
      </c>
      <c r="AI106" s="54">
        <f>12*4000</f>
        <v>48000</v>
      </c>
      <c r="AK106" s="114"/>
      <c r="AL106" s="114"/>
      <c r="AM106" s="114"/>
      <c r="AN106" s="114"/>
      <c r="AO106" s="114"/>
    </row>
    <row r="107" spans="1:41" ht="15" customHeight="1" x14ac:dyDescent="0.3">
      <c r="A107" s="25">
        <v>1</v>
      </c>
      <c r="B107" s="4" t="s">
        <v>13</v>
      </c>
      <c r="C107" s="6">
        <f>3*0.5*40000</f>
        <v>60000</v>
      </c>
      <c r="D107" s="6">
        <f t="shared" ref="D107:N107" si="54">3*0.5*40000</f>
        <v>60000</v>
      </c>
      <c r="E107" s="6">
        <f t="shared" si="54"/>
        <v>60000</v>
      </c>
      <c r="F107" s="6">
        <f t="shared" si="54"/>
        <v>60000</v>
      </c>
      <c r="G107" s="6">
        <f t="shared" si="54"/>
        <v>60000</v>
      </c>
      <c r="H107" s="6">
        <f t="shared" si="54"/>
        <v>60000</v>
      </c>
      <c r="I107" s="6">
        <f t="shared" si="54"/>
        <v>60000</v>
      </c>
      <c r="J107" s="6">
        <f t="shared" si="54"/>
        <v>60000</v>
      </c>
      <c r="K107" s="6">
        <f t="shared" si="54"/>
        <v>60000</v>
      </c>
      <c r="L107" s="6">
        <f t="shared" si="54"/>
        <v>60000</v>
      </c>
      <c r="M107" s="6">
        <f t="shared" si="54"/>
        <v>60000</v>
      </c>
      <c r="N107" s="6">
        <f t="shared" si="54"/>
        <v>60000</v>
      </c>
      <c r="O107" s="5">
        <f t="shared" ref="O107:O112" si="55">SUM(C107:N107)</f>
        <v>720000</v>
      </c>
      <c r="Q107" s="52">
        <v>1</v>
      </c>
      <c r="R107" s="4" t="s">
        <v>13</v>
      </c>
      <c r="S107" s="6">
        <f>(3*0.75*45000)*3</f>
        <v>303750</v>
      </c>
      <c r="T107" s="6">
        <f t="shared" ref="T107:V107" si="56">(3*0.75*45000)*3</f>
        <v>303750</v>
      </c>
      <c r="U107" s="6">
        <f t="shared" si="56"/>
        <v>303750</v>
      </c>
      <c r="V107" s="6">
        <f t="shared" si="56"/>
        <v>303750</v>
      </c>
      <c r="W107" s="5">
        <f>SUM(S107:V107)</f>
        <v>1215000</v>
      </c>
      <c r="X107" s="29"/>
      <c r="Y107" s="52">
        <v>1</v>
      </c>
      <c r="Z107" s="4" t="s">
        <v>13</v>
      </c>
      <c r="AA107" s="6">
        <f>(3*55000)*3</f>
        <v>495000</v>
      </c>
      <c r="AB107" s="6">
        <f>AA107</f>
        <v>495000</v>
      </c>
      <c r="AC107" s="6">
        <f t="shared" ref="AC107:AD107" si="57">AB107</f>
        <v>495000</v>
      </c>
      <c r="AD107" s="6">
        <f t="shared" si="57"/>
        <v>495000</v>
      </c>
      <c r="AE107" s="5">
        <f>SUM(AA107:AD107)</f>
        <v>1980000</v>
      </c>
      <c r="AG107" s="123" t="s">
        <v>107</v>
      </c>
      <c r="AH107" s="124"/>
      <c r="AI107" s="125"/>
      <c r="AK107" s="114"/>
      <c r="AL107" s="114"/>
      <c r="AM107" s="114"/>
      <c r="AN107" s="114"/>
      <c r="AO107" s="114"/>
    </row>
    <row r="108" spans="1:41" x14ac:dyDescent="0.3">
      <c r="A108" s="25">
        <v>2</v>
      </c>
      <c r="B108" s="4" t="s">
        <v>86</v>
      </c>
      <c r="C108" s="6">
        <v>18000</v>
      </c>
      <c r="D108" s="6">
        <v>18000</v>
      </c>
      <c r="E108" s="6">
        <v>18000</v>
      </c>
      <c r="F108" s="6">
        <v>18000</v>
      </c>
      <c r="G108" s="6">
        <v>18000</v>
      </c>
      <c r="H108" s="6">
        <v>18000</v>
      </c>
      <c r="I108" s="6">
        <v>18000</v>
      </c>
      <c r="J108" s="6">
        <v>18000</v>
      </c>
      <c r="K108" s="6">
        <v>18000</v>
      </c>
      <c r="L108" s="6">
        <v>18000</v>
      </c>
      <c r="M108" s="6">
        <v>18000</v>
      </c>
      <c r="N108" s="6">
        <v>18000</v>
      </c>
      <c r="O108" s="5">
        <f t="shared" si="55"/>
        <v>216000</v>
      </c>
      <c r="Q108" s="52">
        <v>2</v>
      </c>
      <c r="R108" s="4" t="s">
        <v>86</v>
      </c>
      <c r="S108" s="6">
        <f>40000*0.75*3</f>
        <v>90000</v>
      </c>
      <c r="T108" s="6">
        <f>S108</f>
        <v>90000</v>
      </c>
      <c r="U108" s="6">
        <f t="shared" ref="U108:V108" si="58">T108</f>
        <v>90000</v>
      </c>
      <c r="V108" s="6">
        <f t="shared" si="58"/>
        <v>90000</v>
      </c>
      <c r="W108" s="5">
        <f>SUM(S108:V108)</f>
        <v>360000</v>
      </c>
      <c r="X108" s="29"/>
      <c r="Y108" s="52">
        <v>2</v>
      </c>
      <c r="Z108" s="4" t="s">
        <v>86</v>
      </c>
      <c r="AA108" s="6">
        <f>55000*3</f>
        <v>165000</v>
      </c>
      <c r="AB108" s="6">
        <f>AA108</f>
        <v>165000</v>
      </c>
      <c r="AC108" s="6">
        <f t="shared" ref="AC108:AD108" si="59">AB108</f>
        <v>165000</v>
      </c>
      <c r="AD108" s="6">
        <f t="shared" si="59"/>
        <v>165000</v>
      </c>
      <c r="AE108" s="5">
        <f>SUM(AA108:AD108)</f>
        <v>660000</v>
      </c>
      <c r="AG108" s="52">
        <v>2</v>
      </c>
      <c r="AH108" s="1" t="s">
        <v>110</v>
      </c>
      <c r="AI108" s="55">
        <v>225000</v>
      </c>
      <c r="AK108" s="114"/>
      <c r="AL108" s="114"/>
      <c r="AM108" s="114"/>
      <c r="AN108" s="114"/>
      <c r="AO108" s="114"/>
    </row>
    <row r="109" spans="1:41" x14ac:dyDescent="0.3">
      <c r="A109" s="25">
        <v>3</v>
      </c>
      <c r="B109" s="4" t="s">
        <v>78</v>
      </c>
      <c r="C109" s="6">
        <v>50000</v>
      </c>
      <c r="D109" s="6">
        <v>50000</v>
      </c>
      <c r="E109" s="6">
        <v>50000</v>
      </c>
      <c r="F109" s="6">
        <v>50000</v>
      </c>
      <c r="G109" s="6">
        <v>50000</v>
      </c>
      <c r="H109" s="6">
        <v>50000</v>
      </c>
      <c r="I109" s="6">
        <v>50000</v>
      </c>
      <c r="J109" s="6">
        <v>50000</v>
      </c>
      <c r="K109" s="6">
        <v>50000</v>
      </c>
      <c r="L109" s="6">
        <v>50000</v>
      </c>
      <c r="M109" s="6">
        <v>50000</v>
      </c>
      <c r="N109" s="6">
        <v>50000</v>
      </c>
      <c r="O109" s="5">
        <f t="shared" si="55"/>
        <v>600000</v>
      </c>
      <c r="Q109" s="52">
        <v>3</v>
      </c>
      <c r="R109" s="4" t="s">
        <v>78</v>
      </c>
      <c r="S109" s="6">
        <f>60000*3</f>
        <v>180000</v>
      </c>
      <c r="T109" s="6">
        <f>S109</f>
        <v>180000</v>
      </c>
      <c r="U109" s="6">
        <f t="shared" ref="U109:V109" si="60">T109</f>
        <v>180000</v>
      </c>
      <c r="V109" s="6">
        <f t="shared" si="60"/>
        <v>180000</v>
      </c>
      <c r="W109" s="5">
        <f>SUM(S109:V109)</f>
        <v>720000</v>
      </c>
      <c r="Y109" s="52">
        <v>3</v>
      </c>
      <c r="Z109" s="4" t="s">
        <v>78</v>
      </c>
      <c r="AA109" s="6">
        <f>65000*3</f>
        <v>195000</v>
      </c>
      <c r="AB109" s="6">
        <f>AA109</f>
        <v>195000</v>
      </c>
      <c r="AC109" s="6">
        <f t="shared" ref="AC109:AD109" si="61">AB109</f>
        <v>195000</v>
      </c>
      <c r="AD109" s="6">
        <f t="shared" si="61"/>
        <v>195000</v>
      </c>
      <c r="AE109" s="5">
        <f>SUM(AA109:AD109)</f>
        <v>780000</v>
      </c>
      <c r="AG109" s="52">
        <v>3</v>
      </c>
      <c r="AH109" s="45" t="s">
        <v>111</v>
      </c>
      <c r="AI109" s="55">
        <v>80000</v>
      </c>
      <c r="AK109" s="114"/>
      <c r="AL109" s="114"/>
      <c r="AM109" s="114"/>
      <c r="AN109" s="114"/>
      <c r="AO109" s="114"/>
    </row>
    <row r="110" spans="1:41" ht="14.4" customHeight="1" x14ac:dyDescent="0.3">
      <c r="A110" s="25">
        <v>4</v>
      </c>
      <c r="B110" s="4" t="s">
        <v>101</v>
      </c>
      <c r="C110" s="6">
        <f>C51*(1/4)*(1/12)</f>
        <v>1250</v>
      </c>
      <c r="D110" s="6">
        <f>$C$110+C111*(1/6)*(1/12)</f>
        <v>2222.2222222222222</v>
      </c>
      <c r="E110" s="6">
        <f>D110</f>
        <v>2222.2222222222222</v>
      </c>
      <c r="F110" s="6">
        <f t="shared" ref="F110:N110" si="62">E110</f>
        <v>2222.2222222222222</v>
      </c>
      <c r="G110" s="6">
        <f t="shared" si="62"/>
        <v>2222.2222222222222</v>
      </c>
      <c r="H110" s="6">
        <f t="shared" si="62"/>
        <v>2222.2222222222222</v>
      </c>
      <c r="I110" s="6">
        <f t="shared" si="62"/>
        <v>2222.2222222222222</v>
      </c>
      <c r="J110" s="6">
        <f t="shared" si="62"/>
        <v>2222.2222222222222</v>
      </c>
      <c r="K110" s="6">
        <f t="shared" si="62"/>
        <v>2222.2222222222222</v>
      </c>
      <c r="L110" s="6">
        <f t="shared" si="62"/>
        <v>2222.2222222222222</v>
      </c>
      <c r="M110" s="6">
        <f t="shared" si="62"/>
        <v>2222.2222222222222</v>
      </c>
      <c r="N110" s="6">
        <f t="shared" si="62"/>
        <v>2222.2222222222222</v>
      </c>
      <c r="O110" s="5">
        <f t="shared" si="55"/>
        <v>25694.444444444445</v>
      </c>
      <c r="Q110" s="52">
        <v>4</v>
      </c>
      <c r="R110" s="4" t="s">
        <v>101</v>
      </c>
      <c r="S110" s="6">
        <f>E110*3</f>
        <v>6666.6666666666661</v>
      </c>
      <c r="T110" s="6">
        <f>S110</f>
        <v>6666.6666666666661</v>
      </c>
      <c r="U110" s="6">
        <f t="shared" ref="U110:V110" si="63">T110</f>
        <v>6666.6666666666661</v>
      </c>
      <c r="V110" s="6">
        <f t="shared" si="63"/>
        <v>6666.6666666666661</v>
      </c>
      <c r="W110" s="5">
        <f>SUM(S110:V110)</f>
        <v>26666.666666666664</v>
      </c>
      <c r="Y110" s="52">
        <v>4</v>
      </c>
      <c r="Z110" s="4" t="s">
        <v>101</v>
      </c>
      <c r="AA110" s="6">
        <f>M110*3</f>
        <v>6666.6666666666661</v>
      </c>
      <c r="AB110" s="6">
        <f>AA110</f>
        <v>6666.6666666666661</v>
      </c>
      <c r="AC110" s="6">
        <f t="shared" ref="AC110:AD110" si="64">AB110</f>
        <v>6666.6666666666661</v>
      </c>
      <c r="AD110" s="6">
        <f t="shared" si="64"/>
        <v>6666.6666666666661</v>
      </c>
      <c r="AE110" s="5">
        <f>SUM(AA110:AD110)</f>
        <v>26666.666666666664</v>
      </c>
      <c r="AG110" s="52">
        <v>4</v>
      </c>
      <c r="AH110" s="45" t="s">
        <v>146</v>
      </c>
      <c r="AI110" s="55">
        <f>AI89*10%</f>
        <v>90000</v>
      </c>
      <c r="AK110" s="114"/>
      <c r="AL110" s="114"/>
      <c r="AM110" s="114"/>
      <c r="AN110" s="114"/>
      <c r="AO110" s="114"/>
    </row>
    <row r="111" spans="1:41" ht="14.4" customHeight="1" x14ac:dyDescent="0.3">
      <c r="A111" s="25">
        <v>5</v>
      </c>
      <c r="B111" s="4" t="s">
        <v>87</v>
      </c>
      <c r="C111" s="6">
        <v>70000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5">
        <f t="shared" si="55"/>
        <v>70000</v>
      </c>
      <c r="Q111" s="52">
        <v>6</v>
      </c>
      <c r="R111" s="4" t="s">
        <v>16</v>
      </c>
      <c r="S111" s="6">
        <f>450000/12*3</f>
        <v>112500</v>
      </c>
      <c r="T111" s="6">
        <f>S111</f>
        <v>112500</v>
      </c>
      <c r="U111" s="6">
        <f t="shared" ref="U111:V111" si="65">T111</f>
        <v>112500</v>
      </c>
      <c r="V111" s="6">
        <f t="shared" si="65"/>
        <v>112500</v>
      </c>
      <c r="W111" s="5">
        <f>SUM(S111:V111)</f>
        <v>450000</v>
      </c>
      <c r="Y111" s="52">
        <v>6</v>
      </c>
      <c r="Z111" s="4" t="s">
        <v>16</v>
      </c>
      <c r="AA111" s="6">
        <f>500000/12*3</f>
        <v>125000</v>
      </c>
      <c r="AB111" s="6">
        <f>AA111</f>
        <v>125000</v>
      </c>
      <c r="AC111" s="6">
        <f t="shared" ref="AC111:AD111" si="66">AB111</f>
        <v>125000</v>
      </c>
      <c r="AD111" s="6">
        <f t="shared" si="66"/>
        <v>125000</v>
      </c>
      <c r="AE111" s="5">
        <f>SUM(AA111:AD111)</f>
        <v>500000</v>
      </c>
      <c r="AG111" s="52">
        <v>5</v>
      </c>
      <c r="AH111" s="1" t="s">
        <v>80</v>
      </c>
      <c r="AI111" s="54">
        <v>60000</v>
      </c>
      <c r="AK111" s="114"/>
      <c r="AL111" s="114"/>
      <c r="AM111" s="114"/>
      <c r="AN111" s="114"/>
      <c r="AO111" s="114"/>
    </row>
    <row r="112" spans="1:41" ht="15" customHeight="1" x14ac:dyDescent="0.3">
      <c r="A112" s="25">
        <v>6</v>
      </c>
      <c r="B112" s="4" t="s">
        <v>16</v>
      </c>
      <c r="C112" s="6">
        <f>400000/12</f>
        <v>33333.333333333336</v>
      </c>
      <c r="D112" s="6">
        <f t="shared" ref="D112:N112" si="67">400000/12</f>
        <v>33333.333333333336</v>
      </c>
      <c r="E112" s="6">
        <f t="shared" si="67"/>
        <v>33333.333333333336</v>
      </c>
      <c r="F112" s="6">
        <f t="shared" si="67"/>
        <v>33333.333333333336</v>
      </c>
      <c r="G112" s="6">
        <f t="shared" si="67"/>
        <v>33333.333333333336</v>
      </c>
      <c r="H112" s="6">
        <f t="shared" si="67"/>
        <v>33333.333333333336</v>
      </c>
      <c r="I112" s="6">
        <f t="shared" si="67"/>
        <v>33333.333333333336</v>
      </c>
      <c r="J112" s="6">
        <f t="shared" si="67"/>
        <v>33333.333333333336</v>
      </c>
      <c r="K112" s="6">
        <f t="shared" si="67"/>
        <v>33333.333333333336</v>
      </c>
      <c r="L112" s="6">
        <f t="shared" si="67"/>
        <v>33333.333333333336</v>
      </c>
      <c r="M112" s="6">
        <f t="shared" si="67"/>
        <v>33333.333333333336</v>
      </c>
      <c r="N112" s="6">
        <f t="shared" si="67"/>
        <v>33333.333333333336</v>
      </c>
      <c r="O112" s="5">
        <f t="shared" si="55"/>
        <v>399999.99999999994</v>
      </c>
      <c r="Q112" s="126" t="s">
        <v>18</v>
      </c>
      <c r="R112" s="127"/>
      <c r="S112" s="127"/>
      <c r="T112" s="127"/>
      <c r="U112" s="127"/>
      <c r="V112" s="128"/>
      <c r="W112" s="1"/>
      <c r="Y112" s="126" t="s">
        <v>18</v>
      </c>
      <c r="Z112" s="127"/>
      <c r="AA112" s="127"/>
      <c r="AB112" s="127"/>
      <c r="AC112" s="127"/>
      <c r="AD112" s="128"/>
      <c r="AE112" s="1"/>
      <c r="AG112" s="131" t="s">
        <v>18</v>
      </c>
      <c r="AH112" s="131"/>
      <c r="AI112" s="131"/>
      <c r="AK112" s="114"/>
      <c r="AL112" s="114"/>
      <c r="AM112" s="114"/>
      <c r="AN112" s="114"/>
      <c r="AO112" s="114"/>
    </row>
    <row r="113" spans="1:41" x14ac:dyDescent="0.3">
      <c r="A113" s="123" t="s">
        <v>18</v>
      </c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5"/>
      <c r="O113" s="31"/>
      <c r="Q113" s="52">
        <v>6</v>
      </c>
      <c r="R113" s="4" t="s">
        <v>19</v>
      </c>
      <c r="S113" s="6">
        <f>850000/12*3</f>
        <v>212500</v>
      </c>
      <c r="T113" s="6">
        <f t="shared" ref="T113:V113" si="68">850000/12*3</f>
        <v>212500</v>
      </c>
      <c r="U113" s="6">
        <f t="shared" si="68"/>
        <v>212500</v>
      </c>
      <c r="V113" s="6">
        <f t="shared" si="68"/>
        <v>212500</v>
      </c>
      <c r="W113" s="5">
        <f>SUM(S113:V113)</f>
        <v>850000</v>
      </c>
      <c r="Y113" s="52">
        <v>6</v>
      </c>
      <c r="Z113" s="4" t="s">
        <v>19</v>
      </c>
      <c r="AA113" s="6">
        <f>1200000/12*3</f>
        <v>300000</v>
      </c>
      <c r="AB113" s="6">
        <f>AA113</f>
        <v>300000</v>
      </c>
      <c r="AC113" s="6">
        <f t="shared" ref="AC113:AD113" si="69">AB113</f>
        <v>300000</v>
      </c>
      <c r="AD113" s="6">
        <f t="shared" si="69"/>
        <v>300000</v>
      </c>
      <c r="AE113" s="5">
        <f>SUM(AA113:AD113)</f>
        <v>1200000</v>
      </c>
      <c r="AG113" s="52">
        <v>6</v>
      </c>
      <c r="AH113" s="1" t="s">
        <v>81</v>
      </c>
      <c r="AI113" s="55">
        <v>37500</v>
      </c>
      <c r="AK113" s="114"/>
      <c r="AL113" s="114"/>
      <c r="AM113" s="114"/>
      <c r="AN113" s="114"/>
      <c r="AO113" s="114"/>
    </row>
    <row r="114" spans="1:41" x14ac:dyDescent="0.3">
      <c r="A114" s="25">
        <v>6</v>
      </c>
      <c r="B114" s="4" t="s">
        <v>19</v>
      </c>
      <c r="C114" s="6">
        <f>500000/12</f>
        <v>41666.666666666664</v>
      </c>
      <c r="D114" s="6">
        <f>$C$114</f>
        <v>41666.666666666664</v>
      </c>
      <c r="E114" s="6">
        <f t="shared" ref="E114:N114" si="70">$C$114</f>
        <v>41666.666666666664</v>
      </c>
      <c r="F114" s="6">
        <f t="shared" si="70"/>
        <v>41666.666666666664</v>
      </c>
      <c r="G114" s="6">
        <f t="shared" si="70"/>
        <v>41666.666666666664</v>
      </c>
      <c r="H114" s="6">
        <f t="shared" si="70"/>
        <v>41666.666666666664</v>
      </c>
      <c r="I114" s="6">
        <f t="shared" si="70"/>
        <v>41666.666666666664</v>
      </c>
      <c r="J114" s="6">
        <f t="shared" si="70"/>
        <v>41666.666666666664</v>
      </c>
      <c r="K114" s="6">
        <f t="shared" si="70"/>
        <v>41666.666666666664</v>
      </c>
      <c r="L114" s="6">
        <f t="shared" si="70"/>
        <v>41666.666666666664</v>
      </c>
      <c r="M114" s="6">
        <f t="shared" si="70"/>
        <v>41666.666666666664</v>
      </c>
      <c r="N114" s="6">
        <f t="shared" si="70"/>
        <v>41666.666666666664</v>
      </c>
      <c r="O114" s="5">
        <f>SUM(C114:N114)</f>
        <v>500000.00000000006</v>
      </c>
      <c r="Q114" s="52">
        <v>7</v>
      </c>
      <c r="R114" s="4" t="s">
        <v>102</v>
      </c>
      <c r="S114" s="6">
        <f>50000*3</f>
        <v>150000</v>
      </c>
      <c r="T114" s="6">
        <f t="shared" ref="T114:V114" si="71">50000*3</f>
        <v>150000</v>
      </c>
      <c r="U114" s="6">
        <f t="shared" si="71"/>
        <v>150000</v>
      </c>
      <c r="V114" s="6">
        <f t="shared" si="71"/>
        <v>150000</v>
      </c>
      <c r="W114" s="5">
        <f>SUM(S114:V114)</f>
        <v>600000</v>
      </c>
      <c r="Y114" s="52">
        <v>7</v>
      </c>
      <c r="Z114" s="4" t="s">
        <v>102</v>
      </c>
      <c r="AA114" s="6">
        <f>55000*3</f>
        <v>165000</v>
      </c>
      <c r="AB114" s="6">
        <f>AA114</f>
        <v>165000</v>
      </c>
      <c r="AC114" s="6">
        <f t="shared" ref="AC114:AD114" si="72">AB114</f>
        <v>165000</v>
      </c>
      <c r="AD114" s="6">
        <f t="shared" si="72"/>
        <v>165000</v>
      </c>
      <c r="AE114" s="5">
        <f>SUM(AA114:AD114)</f>
        <v>660000</v>
      </c>
      <c r="AG114" s="52">
        <v>7</v>
      </c>
      <c r="AH114" s="1" t="s">
        <v>83</v>
      </c>
      <c r="AI114" s="54">
        <v>90000</v>
      </c>
      <c r="AK114" s="114"/>
      <c r="AL114" s="114"/>
      <c r="AM114" s="114"/>
      <c r="AN114" s="114"/>
      <c r="AO114" s="114"/>
    </row>
    <row r="115" spans="1:41" ht="15" customHeight="1" x14ac:dyDescent="0.3">
      <c r="A115" s="25">
        <v>7</v>
      </c>
      <c r="B115" s="4" t="s">
        <v>102</v>
      </c>
      <c r="C115" s="6">
        <v>35000</v>
      </c>
      <c r="D115" s="6">
        <v>35000</v>
      </c>
      <c r="E115" s="6">
        <v>35000</v>
      </c>
      <c r="F115" s="6">
        <v>35000</v>
      </c>
      <c r="G115" s="6">
        <v>35000</v>
      </c>
      <c r="H115" s="6">
        <v>35000</v>
      </c>
      <c r="I115" s="6">
        <v>35000</v>
      </c>
      <c r="J115" s="6">
        <v>35000</v>
      </c>
      <c r="K115" s="6">
        <v>35000</v>
      </c>
      <c r="L115" s="6">
        <v>35000</v>
      </c>
      <c r="M115" s="6">
        <v>35000</v>
      </c>
      <c r="N115" s="6">
        <v>35000</v>
      </c>
      <c r="O115" s="5">
        <f>SUM(C115:N115)</f>
        <v>420000</v>
      </c>
      <c r="Q115" s="52">
        <v>8</v>
      </c>
      <c r="R115" s="4" t="s">
        <v>100</v>
      </c>
      <c r="S115" s="6">
        <f>450000/12*3</f>
        <v>112500</v>
      </c>
      <c r="T115" s="6">
        <f t="shared" ref="T115:V115" si="73">450000/12*3</f>
        <v>112500</v>
      </c>
      <c r="U115" s="6">
        <f t="shared" si="73"/>
        <v>112500</v>
      </c>
      <c r="V115" s="6">
        <f t="shared" si="73"/>
        <v>112500</v>
      </c>
      <c r="W115" s="5">
        <f>SUM(S115:V115)</f>
        <v>450000</v>
      </c>
      <c r="Y115" s="52">
        <v>8</v>
      </c>
      <c r="Z115" s="4" t="s">
        <v>100</v>
      </c>
      <c r="AA115" s="6">
        <f>500000/12*3</f>
        <v>125000</v>
      </c>
      <c r="AB115" s="6">
        <f>AA115</f>
        <v>125000</v>
      </c>
      <c r="AC115" s="6">
        <f t="shared" ref="AC115:AD115" si="74">AB115</f>
        <v>125000</v>
      </c>
      <c r="AD115" s="6">
        <f t="shared" si="74"/>
        <v>125000</v>
      </c>
      <c r="AE115" s="5">
        <f>SUM(AA115:AD115)</f>
        <v>500000</v>
      </c>
      <c r="AG115" s="52">
        <v>8</v>
      </c>
      <c r="AH115" s="1" t="s">
        <v>82</v>
      </c>
      <c r="AI115" s="54">
        <v>50000</v>
      </c>
      <c r="AK115" s="114"/>
      <c r="AL115" s="114"/>
      <c r="AM115" s="114"/>
      <c r="AN115" s="114"/>
      <c r="AO115" s="114"/>
    </row>
    <row r="116" spans="1:41" ht="14.4" customHeight="1" x14ac:dyDescent="0.3">
      <c r="A116" s="25">
        <v>8</v>
      </c>
      <c r="B116" s="4" t="s">
        <v>100</v>
      </c>
      <c r="C116" s="6">
        <f>400000/12</f>
        <v>33333.333333333336</v>
      </c>
      <c r="D116" s="6">
        <f>$C$116</f>
        <v>33333.333333333336</v>
      </c>
      <c r="E116" s="6">
        <f t="shared" ref="E116:N116" si="75">$C$116</f>
        <v>33333.333333333336</v>
      </c>
      <c r="F116" s="6">
        <f t="shared" si="75"/>
        <v>33333.333333333336</v>
      </c>
      <c r="G116" s="6">
        <f t="shared" si="75"/>
        <v>33333.333333333336</v>
      </c>
      <c r="H116" s="6">
        <f t="shared" si="75"/>
        <v>33333.333333333336</v>
      </c>
      <c r="I116" s="6">
        <f t="shared" si="75"/>
        <v>33333.333333333336</v>
      </c>
      <c r="J116" s="6">
        <f t="shared" si="75"/>
        <v>33333.333333333336</v>
      </c>
      <c r="K116" s="6">
        <f t="shared" si="75"/>
        <v>33333.333333333336</v>
      </c>
      <c r="L116" s="6">
        <f t="shared" si="75"/>
        <v>33333.333333333336</v>
      </c>
      <c r="M116" s="6">
        <f t="shared" si="75"/>
        <v>33333.333333333336</v>
      </c>
      <c r="N116" s="6">
        <f t="shared" si="75"/>
        <v>33333.333333333336</v>
      </c>
      <c r="O116" s="5">
        <f>SUM(C116:N116)</f>
        <v>399999.99999999994</v>
      </c>
      <c r="Q116" s="123" t="s">
        <v>20</v>
      </c>
      <c r="R116" s="124"/>
      <c r="S116" s="124"/>
      <c r="T116" s="124"/>
      <c r="U116" s="124"/>
      <c r="V116" s="125"/>
      <c r="W116" s="1"/>
      <c r="Y116" s="123" t="s">
        <v>20</v>
      </c>
      <c r="Z116" s="124"/>
      <c r="AA116" s="124"/>
      <c r="AB116" s="124"/>
      <c r="AC116" s="124"/>
      <c r="AD116" s="125"/>
      <c r="AE116" s="1"/>
      <c r="AG116" s="131" t="s">
        <v>108</v>
      </c>
      <c r="AH116" s="131"/>
      <c r="AI116" s="131"/>
      <c r="AK116" s="114"/>
      <c r="AL116" s="114"/>
      <c r="AM116" s="114"/>
      <c r="AN116" s="114"/>
      <c r="AO116" s="114"/>
    </row>
    <row r="117" spans="1:41" x14ac:dyDescent="0.3">
      <c r="A117" s="123" t="s">
        <v>20</v>
      </c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5"/>
      <c r="O117" s="31"/>
      <c r="Q117" s="52">
        <v>9</v>
      </c>
      <c r="R117" s="4" t="s">
        <v>14</v>
      </c>
      <c r="S117" s="6">
        <f>4000*3</f>
        <v>12000</v>
      </c>
      <c r="T117" s="6">
        <f>S117</f>
        <v>12000</v>
      </c>
      <c r="U117" s="6">
        <f t="shared" ref="U117:V117" si="76">T117</f>
        <v>12000</v>
      </c>
      <c r="V117" s="6">
        <f t="shared" si="76"/>
        <v>12000</v>
      </c>
      <c r="W117" s="5">
        <f>SUM(S117:V117)</f>
        <v>48000</v>
      </c>
      <c r="Y117" s="52">
        <v>9</v>
      </c>
      <c r="Z117" s="4" t="s">
        <v>14</v>
      </c>
      <c r="AA117" s="6">
        <f>5000*3</f>
        <v>15000</v>
      </c>
      <c r="AB117" s="6">
        <f>AA117</f>
        <v>15000</v>
      </c>
      <c r="AC117" s="6">
        <f t="shared" ref="AC117:AD117" si="77">AB117</f>
        <v>15000</v>
      </c>
      <c r="AD117" s="6">
        <f t="shared" si="77"/>
        <v>15000</v>
      </c>
      <c r="AE117" s="5">
        <f>SUM(AA117:AD117)</f>
        <v>60000</v>
      </c>
      <c r="AG117" s="52">
        <v>9</v>
      </c>
      <c r="AH117" s="1" t="s">
        <v>113</v>
      </c>
      <c r="AI117" s="55">
        <v>42000</v>
      </c>
      <c r="AK117" s="114"/>
      <c r="AL117" s="114"/>
      <c r="AM117" s="114"/>
      <c r="AN117" s="114"/>
      <c r="AO117" s="114"/>
    </row>
    <row r="118" spans="1:41" ht="15" customHeight="1" x14ac:dyDescent="0.3">
      <c r="A118" s="25">
        <v>9</v>
      </c>
      <c r="B118" s="4" t="s">
        <v>14</v>
      </c>
      <c r="C118" s="6">
        <v>3000</v>
      </c>
      <c r="D118" s="6">
        <v>3000</v>
      </c>
      <c r="E118" s="6">
        <v>3000</v>
      </c>
      <c r="F118" s="6">
        <v>3000</v>
      </c>
      <c r="G118" s="6">
        <v>3000</v>
      </c>
      <c r="H118" s="6">
        <v>3000</v>
      </c>
      <c r="I118" s="6">
        <v>3000</v>
      </c>
      <c r="J118" s="6">
        <v>3000</v>
      </c>
      <c r="K118" s="6">
        <v>3000</v>
      </c>
      <c r="L118" s="6">
        <v>3000</v>
      </c>
      <c r="M118" s="6">
        <v>3000</v>
      </c>
      <c r="N118" s="6">
        <v>3000</v>
      </c>
      <c r="O118" s="5">
        <f>SUM(C118:N118)</f>
        <v>36000</v>
      </c>
      <c r="Q118" s="52">
        <v>10</v>
      </c>
      <c r="R118" s="4" t="s">
        <v>106</v>
      </c>
      <c r="S118" s="6">
        <f>350000/12*3</f>
        <v>87500</v>
      </c>
      <c r="T118" s="6">
        <f>S118</f>
        <v>87500</v>
      </c>
      <c r="U118" s="6">
        <f t="shared" ref="U118:V118" si="78">T118</f>
        <v>87500</v>
      </c>
      <c r="V118" s="6">
        <f t="shared" si="78"/>
        <v>87500</v>
      </c>
      <c r="W118" s="5">
        <f>SUM(S118:V118)</f>
        <v>350000</v>
      </c>
      <c r="Y118" s="52">
        <v>10</v>
      </c>
      <c r="Z118" s="4" t="s">
        <v>106</v>
      </c>
      <c r="AA118" s="6">
        <f>400000/12*3</f>
        <v>100000</v>
      </c>
      <c r="AB118" s="6">
        <f>AA118</f>
        <v>100000</v>
      </c>
      <c r="AC118" s="6">
        <f t="shared" ref="AC118:AD118" si="79">AB118</f>
        <v>100000</v>
      </c>
      <c r="AD118" s="6">
        <f t="shared" si="79"/>
        <v>100000</v>
      </c>
      <c r="AE118" s="5">
        <f>SUM(AA118:AD118)</f>
        <v>400000</v>
      </c>
      <c r="AG118" s="52">
        <v>10</v>
      </c>
      <c r="AH118" s="1" t="s">
        <v>115</v>
      </c>
      <c r="AI118" s="55">
        <v>15600</v>
      </c>
      <c r="AK118" s="114"/>
      <c r="AL118" s="114"/>
      <c r="AM118" s="114"/>
      <c r="AN118" s="114"/>
      <c r="AO118" s="114"/>
    </row>
    <row r="119" spans="1:41" ht="15" customHeight="1" x14ac:dyDescent="0.3">
      <c r="A119" s="25">
        <v>10</v>
      </c>
      <c r="B119" s="4" t="s">
        <v>106</v>
      </c>
      <c r="C119" s="6">
        <v>25000</v>
      </c>
      <c r="D119" s="6">
        <v>25000</v>
      </c>
      <c r="E119" s="6">
        <v>25000</v>
      </c>
      <c r="F119" s="6">
        <v>25000</v>
      </c>
      <c r="G119" s="6">
        <v>25000</v>
      </c>
      <c r="H119" s="6">
        <v>25000</v>
      </c>
      <c r="I119" s="6">
        <v>25000</v>
      </c>
      <c r="J119" s="6">
        <v>25000</v>
      </c>
      <c r="K119" s="6">
        <v>25000</v>
      </c>
      <c r="L119" s="6">
        <v>25000</v>
      </c>
      <c r="M119" s="6">
        <v>25000</v>
      </c>
      <c r="N119" s="6">
        <v>25000</v>
      </c>
      <c r="O119" s="5">
        <f>SUM(C119:N119)</f>
        <v>300000</v>
      </c>
      <c r="Q119" s="52">
        <v>11</v>
      </c>
      <c r="R119" s="4" t="s">
        <v>21</v>
      </c>
      <c r="S119" s="6">
        <f>(S107+S108+S109)*0.33</f>
        <v>189337.5</v>
      </c>
      <c r="T119" s="6">
        <f t="shared" ref="T119:U119" si="80">(T107+T108+T109)*0.33</f>
        <v>189337.5</v>
      </c>
      <c r="U119" s="6">
        <f t="shared" si="80"/>
        <v>189337.5</v>
      </c>
      <c r="V119" s="6">
        <f>(V107+V108+V109)*0.33</f>
        <v>189337.5</v>
      </c>
      <c r="W119" s="5">
        <f>SUM(S119:V119)</f>
        <v>757350</v>
      </c>
      <c r="Y119" s="52">
        <v>11</v>
      </c>
      <c r="Z119" s="4" t="s">
        <v>21</v>
      </c>
      <c r="AA119" s="6">
        <f>(AA107+AA108+AA109)*0.33</f>
        <v>282150</v>
      </c>
      <c r="AB119" s="6">
        <f t="shared" ref="AB119:AD119" si="81">(AB107+AB108+AB109)*0.33</f>
        <v>282150</v>
      </c>
      <c r="AC119" s="6">
        <f t="shared" si="81"/>
        <v>282150</v>
      </c>
      <c r="AD119" s="6">
        <f t="shared" si="81"/>
        <v>282150</v>
      </c>
      <c r="AE119" s="5">
        <f>SUM(AA119:AD119)</f>
        <v>1128600</v>
      </c>
      <c r="AG119" s="52">
        <v>11</v>
      </c>
      <c r="AH119" s="1" t="s">
        <v>114</v>
      </c>
      <c r="AI119" s="55">
        <v>800000</v>
      </c>
    </row>
    <row r="120" spans="1:41" ht="14.4" customHeight="1" x14ac:dyDescent="0.3">
      <c r="A120" s="25">
        <v>11</v>
      </c>
      <c r="B120" s="4" t="s">
        <v>21</v>
      </c>
      <c r="C120" s="6">
        <f t="shared" ref="C120:N120" si="82">(C107+C108+C109)*0.33</f>
        <v>42240</v>
      </c>
      <c r="D120" s="6">
        <f t="shared" si="82"/>
        <v>42240</v>
      </c>
      <c r="E120" s="6">
        <f t="shared" si="82"/>
        <v>42240</v>
      </c>
      <c r="F120" s="6">
        <f t="shared" si="82"/>
        <v>42240</v>
      </c>
      <c r="G120" s="6">
        <f t="shared" si="82"/>
        <v>42240</v>
      </c>
      <c r="H120" s="6">
        <f t="shared" si="82"/>
        <v>42240</v>
      </c>
      <c r="I120" s="6">
        <f t="shared" si="82"/>
        <v>42240</v>
      </c>
      <c r="J120" s="6">
        <f t="shared" si="82"/>
        <v>42240</v>
      </c>
      <c r="K120" s="6">
        <f t="shared" si="82"/>
        <v>42240</v>
      </c>
      <c r="L120" s="6">
        <f t="shared" si="82"/>
        <v>42240</v>
      </c>
      <c r="M120" s="6">
        <f t="shared" si="82"/>
        <v>42240</v>
      </c>
      <c r="N120" s="6">
        <f t="shared" si="82"/>
        <v>42240</v>
      </c>
      <c r="O120" s="5">
        <f>SUM(C120:N120)</f>
        <v>506880</v>
      </c>
      <c r="Q120" s="52">
        <v>12</v>
      </c>
      <c r="R120" s="4" t="s">
        <v>103</v>
      </c>
      <c r="S120" s="6">
        <f>18000*3</f>
        <v>54000</v>
      </c>
      <c r="T120" s="6">
        <f>S120</f>
        <v>54000</v>
      </c>
      <c r="U120" s="6">
        <f t="shared" ref="U120:V120" si="83">T120</f>
        <v>54000</v>
      </c>
      <c r="V120" s="6">
        <f t="shared" si="83"/>
        <v>54000</v>
      </c>
      <c r="W120" s="5">
        <f>SUM(S120:V120)</f>
        <v>216000</v>
      </c>
      <c r="Y120" s="52">
        <v>12</v>
      </c>
      <c r="Z120" s="4" t="s">
        <v>103</v>
      </c>
      <c r="AA120" s="6">
        <f>22000*3</f>
        <v>66000</v>
      </c>
      <c r="AB120" s="6">
        <f>AA120</f>
        <v>66000</v>
      </c>
      <c r="AC120" s="6">
        <f t="shared" ref="AC120:AD120" si="84">AB120</f>
        <v>66000</v>
      </c>
      <c r="AD120" s="6">
        <f t="shared" si="84"/>
        <v>66000</v>
      </c>
      <c r="AE120" s="5">
        <f>SUM(AA120:AD120)</f>
        <v>264000</v>
      </c>
      <c r="AG120" s="52">
        <v>12</v>
      </c>
      <c r="AH120" s="57" t="s">
        <v>138</v>
      </c>
      <c r="AI120" s="55">
        <v>400000</v>
      </c>
    </row>
    <row r="121" spans="1:41" ht="14.4" customHeight="1" x14ac:dyDescent="0.3">
      <c r="A121" s="25">
        <v>12</v>
      </c>
      <c r="B121" s="4" t="s">
        <v>103</v>
      </c>
      <c r="C121" s="6">
        <v>14000</v>
      </c>
      <c r="D121" s="6">
        <v>14000</v>
      </c>
      <c r="E121" s="6">
        <v>14000</v>
      </c>
      <c r="F121" s="6">
        <v>14000</v>
      </c>
      <c r="G121" s="6">
        <v>14000</v>
      </c>
      <c r="H121" s="6">
        <v>14000</v>
      </c>
      <c r="I121" s="6">
        <v>14000</v>
      </c>
      <c r="J121" s="6">
        <v>14000</v>
      </c>
      <c r="K121" s="6">
        <v>14000</v>
      </c>
      <c r="L121" s="6">
        <v>14000</v>
      </c>
      <c r="M121" s="6">
        <v>14000</v>
      </c>
      <c r="N121" s="6">
        <v>14000</v>
      </c>
      <c r="O121" s="5">
        <f>SUM(C121:N121)</f>
        <v>168000</v>
      </c>
      <c r="Q121" s="123" t="s">
        <v>22</v>
      </c>
      <c r="R121" s="124"/>
      <c r="S121" s="124"/>
      <c r="T121" s="124"/>
      <c r="U121" s="124"/>
      <c r="V121" s="125"/>
      <c r="W121" s="59"/>
      <c r="Y121" s="123" t="s">
        <v>22</v>
      </c>
      <c r="Z121" s="124"/>
      <c r="AA121" s="124"/>
      <c r="AB121" s="124"/>
      <c r="AC121" s="124"/>
      <c r="AD121" s="125"/>
      <c r="AE121" s="59"/>
      <c r="AG121" s="129" t="s">
        <v>23</v>
      </c>
      <c r="AH121" s="130"/>
      <c r="AI121" s="46">
        <f>SUM(AI106)+SUM(AI108:AI111)+SUM(AI113:AI115)+SUM(AI117:AI120)</f>
        <v>1938100</v>
      </c>
    </row>
    <row r="122" spans="1:41" x14ac:dyDescent="0.3">
      <c r="A122" s="123" t="s">
        <v>22</v>
      </c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5"/>
      <c r="O122" s="31"/>
      <c r="Q122" s="52">
        <v>13</v>
      </c>
      <c r="R122" s="4" t="s">
        <v>105</v>
      </c>
      <c r="S122" s="6">
        <f>2000*12</f>
        <v>24000</v>
      </c>
      <c r="T122" s="6">
        <v>0</v>
      </c>
      <c r="U122" s="6">
        <v>0</v>
      </c>
      <c r="V122" s="6">
        <v>0</v>
      </c>
      <c r="W122" s="5">
        <f>SUM(S122:V122)</f>
        <v>24000</v>
      </c>
      <c r="Y122" s="52">
        <v>13</v>
      </c>
      <c r="Z122" s="4" t="s">
        <v>105</v>
      </c>
      <c r="AA122" s="6">
        <f>2200*12</f>
        <v>26400</v>
      </c>
      <c r="AB122" s="6">
        <v>0</v>
      </c>
      <c r="AC122" s="6">
        <v>0</v>
      </c>
      <c r="AD122" s="6">
        <v>0</v>
      </c>
      <c r="AE122" s="5">
        <f>SUM(AA122:AD122)</f>
        <v>26400</v>
      </c>
    </row>
    <row r="123" spans="1:41" ht="14.4" customHeight="1" x14ac:dyDescent="0.3">
      <c r="A123" s="25">
        <v>13</v>
      </c>
      <c r="B123" s="4" t="s">
        <v>105</v>
      </c>
      <c r="C123" s="6">
        <f>1692*12</f>
        <v>20304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5">
        <f>SUM(C123:N123)</f>
        <v>20304</v>
      </c>
      <c r="Q123" s="129" t="s">
        <v>49</v>
      </c>
      <c r="R123" s="130"/>
      <c r="S123" s="5">
        <f>SUM(S107:S111)+SUM(S113:S115)+SUM(S117:S120)+SUM(S122:S122)</f>
        <v>1534754.1666666665</v>
      </c>
      <c r="T123" s="5">
        <f>SUM(T107:T111)+SUM(T113:T115)+SUM(T117:T120)+SUM(T122:T122)</f>
        <v>1510754.1666666665</v>
      </c>
      <c r="U123" s="5">
        <f>SUM(U107:U111)+SUM(U113:U115)+SUM(U117:U120)+SUM(U122:U122)</f>
        <v>1510754.1666666665</v>
      </c>
      <c r="V123" s="5">
        <f>SUM(V107:V111)+SUM(V113:V115)+SUM(V117:V120)+SUM(V122:V122)</f>
        <v>1510754.1666666665</v>
      </c>
      <c r="W123" s="46">
        <f>SUM(S123:V123)</f>
        <v>6067016.666666666</v>
      </c>
      <c r="Y123" s="129" t="s">
        <v>49</v>
      </c>
      <c r="Z123" s="130"/>
      <c r="AA123" s="5">
        <f>SUM(AA107:AA111)+SUM(AA113:AA115)+SUM(AA117:AA120)+SUM(AA122:AA122)</f>
        <v>2066216.6666666665</v>
      </c>
      <c r="AB123" s="5">
        <f>SUM(AB107:AB111)+SUM(AB113:AB115)+SUM(AB117:AB120)+SUM(AB122:AB122)</f>
        <v>2039816.6666666665</v>
      </c>
      <c r="AC123" s="5">
        <f>SUM(AC107:AC111)+SUM(AC113:AC115)+SUM(AC117:AC120)+SUM(AC122:AC122)</f>
        <v>2039816.6666666665</v>
      </c>
      <c r="AD123" s="5">
        <f>SUM(AD107:AD111)+SUM(AD113:AD115)+SUM(AD117:AD120)+SUM(AD122:AD122)</f>
        <v>2039816.6666666665</v>
      </c>
      <c r="AE123" s="46">
        <f>SUM(AA123:AD123)</f>
        <v>8185666.666666666</v>
      </c>
      <c r="AG123" s="12" t="s">
        <v>85</v>
      </c>
      <c r="AI123" s="8" t="s">
        <v>5</v>
      </c>
      <c r="AK123" s="115" t="s">
        <v>148</v>
      </c>
      <c r="AL123" s="116"/>
      <c r="AM123" s="116"/>
      <c r="AN123" s="116"/>
      <c r="AO123" s="116"/>
    </row>
    <row r="124" spans="1:41" ht="15" customHeight="1" x14ac:dyDescent="0.3">
      <c r="A124" s="129" t="s">
        <v>23</v>
      </c>
      <c r="B124" s="130"/>
      <c r="C124" s="5">
        <f t="shared" ref="C124:N124" si="85">SUM(C107:C112)+SUM(C114:C116)+SUM(C118:C121)+SUM(C123:C123)</f>
        <v>447127.33333333337</v>
      </c>
      <c r="D124" s="5">
        <f t="shared" si="85"/>
        <v>357795.55555555556</v>
      </c>
      <c r="E124" s="5">
        <f t="shared" si="85"/>
        <v>357795.55555555556</v>
      </c>
      <c r="F124" s="5">
        <f t="shared" si="85"/>
        <v>357795.55555555556</v>
      </c>
      <c r="G124" s="5">
        <f t="shared" si="85"/>
        <v>357795.55555555556</v>
      </c>
      <c r="H124" s="5">
        <f t="shared" si="85"/>
        <v>357795.55555555556</v>
      </c>
      <c r="I124" s="5">
        <f t="shared" si="85"/>
        <v>357795.55555555556</v>
      </c>
      <c r="J124" s="5">
        <f t="shared" si="85"/>
        <v>357795.55555555556</v>
      </c>
      <c r="K124" s="5">
        <f t="shared" si="85"/>
        <v>357795.55555555556</v>
      </c>
      <c r="L124" s="5">
        <f t="shared" si="85"/>
        <v>357795.55555555556</v>
      </c>
      <c r="M124" s="5">
        <f t="shared" si="85"/>
        <v>357795.55555555556</v>
      </c>
      <c r="N124" s="5">
        <f t="shared" si="85"/>
        <v>357795.55555555556</v>
      </c>
      <c r="O124" s="46">
        <f>SUM(C124:N124)</f>
        <v>4382878.444444444</v>
      </c>
      <c r="W124" s="29"/>
      <c r="AG124" s="52" t="s">
        <v>0</v>
      </c>
      <c r="AH124" s="52" t="s">
        <v>15</v>
      </c>
      <c r="AI124" s="52" t="s">
        <v>24</v>
      </c>
      <c r="AK124" s="116"/>
      <c r="AL124" s="116"/>
      <c r="AM124" s="116"/>
      <c r="AN124" s="116"/>
      <c r="AO124" s="116"/>
    </row>
    <row r="125" spans="1:41" ht="16.2" customHeight="1" x14ac:dyDescent="0.3">
      <c r="A125" s="40"/>
      <c r="B125" s="44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W125" s="29"/>
      <c r="AG125" s="131" t="s">
        <v>22</v>
      </c>
      <c r="AH125" s="131"/>
      <c r="AI125" s="131"/>
      <c r="AK125" s="116"/>
      <c r="AL125" s="116"/>
      <c r="AM125" s="116"/>
      <c r="AN125" s="116"/>
      <c r="AO125" s="116"/>
    </row>
    <row r="126" spans="1:41" x14ac:dyDescent="0.3">
      <c r="A126" s="12" t="s">
        <v>46</v>
      </c>
      <c r="C126" s="9" t="s">
        <v>6</v>
      </c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Q126" s="12" t="s">
        <v>47</v>
      </c>
      <c r="S126" s="9" t="s">
        <v>6</v>
      </c>
      <c r="T126" s="9"/>
      <c r="U126" s="9"/>
      <c r="V126" s="9"/>
      <c r="W126" s="9"/>
      <c r="Y126" s="12" t="s">
        <v>84</v>
      </c>
      <c r="AA126" s="9" t="s">
        <v>6</v>
      </c>
      <c r="AB126" s="9"/>
      <c r="AC126" s="9"/>
      <c r="AD126" s="9"/>
      <c r="AE126" s="9"/>
      <c r="AG126" s="52">
        <v>1</v>
      </c>
      <c r="AH126" s="1" t="s">
        <v>109</v>
      </c>
      <c r="AI126" s="54">
        <f>12*4500</f>
        <v>54000</v>
      </c>
      <c r="AK126" s="116"/>
      <c r="AL126" s="116"/>
      <c r="AM126" s="116"/>
      <c r="AN126" s="116"/>
      <c r="AO126" s="116"/>
    </row>
    <row r="127" spans="1:41" ht="15" customHeight="1" x14ac:dyDescent="0.3">
      <c r="A127" s="25" t="s">
        <v>0</v>
      </c>
      <c r="B127" s="25" t="s">
        <v>15</v>
      </c>
      <c r="C127" s="37" t="s">
        <v>88</v>
      </c>
      <c r="D127" s="37" t="s">
        <v>89</v>
      </c>
      <c r="E127" s="37" t="s">
        <v>90</v>
      </c>
      <c r="F127" s="37" t="s">
        <v>91</v>
      </c>
      <c r="G127" s="37" t="s">
        <v>92</v>
      </c>
      <c r="H127" s="37" t="s">
        <v>93</v>
      </c>
      <c r="I127" s="37" t="s">
        <v>94</v>
      </c>
      <c r="J127" s="37" t="s">
        <v>95</v>
      </c>
      <c r="K127" s="37" t="s">
        <v>96</v>
      </c>
      <c r="L127" s="37" t="s">
        <v>97</v>
      </c>
      <c r="M127" s="37" t="s">
        <v>98</v>
      </c>
      <c r="N127" s="37" t="s">
        <v>99</v>
      </c>
      <c r="O127" s="26" t="s">
        <v>7</v>
      </c>
      <c r="Q127" s="52" t="s">
        <v>0</v>
      </c>
      <c r="R127" s="52" t="s">
        <v>15</v>
      </c>
      <c r="S127" s="52" t="s">
        <v>139</v>
      </c>
      <c r="T127" s="52" t="s">
        <v>140</v>
      </c>
      <c r="U127" s="52" t="s">
        <v>141</v>
      </c>
      <c r="V127" s="52" t="s">
        <v>142</v>
      </c>
      <c r="W127" s="53" t="s">
        <v>7</v>
      </c>
      <c r="Y127" s="52" t="s">
        <v>0</v>
      </c>
      <c r="Z127" s="52" t="s">
        <v>15</v>
      </c>
      <c r="AA127" s="52" t="s">
        <v>139</v>
      </c>
      <c r="AB127" s="52" t="s">
        <v>140</v>
      </c>
      <c r="AC127" s="52" t="s">
        <v>141</v>
      </c>
      <c r="AD127" s="52" t="s">
        <v>142</v>
      </c>
      <c r="AE127" s="53" t="s">
        <v>7</v>
      </c>
      <c r="AG127" s="123" t="s">
        <v>107</v>
      </c>
      <c r="AH127" s="124"/>
      <c r="AI127" s="125"/>
      <c r="AK127" s="116"/>
      <c r="AL127" s="116"/>
      <c r="AM127" s="116"/>
      <c r="AN127" s="116"/>
      <c r="AO127" s="116"/>
    </row>
    <row r="128" spans="1:41" x14ac:dyDescent="0.3">
      <c r="A128" s="132" t="s">
        <v>17</v>
      </c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4"/>
      <c r="Q128" s="123" t="s">
        <v>17</v>
      </c>
      <c r="R128" s="124"/>
      <c r="S128" s="124"/>
      <c r="T128" s="124"/>
      <c r="U128" s="124"/>
      <c r="V128" s="125"/>
      <c r="W128" s="5"/>
      <c r="Y128" s="123" t="s">
        <v>17</v>
      </c>
      <c r="Z128" s="124"/>
      <c r="AA128" s="124"/>
      <c r="AB128" s="124"/>
      <c r="AC128" s="124"/>
      <c r="AD128" s="125"/>
      <c r="AE128" s="5"/>
      <c r="AG128" s="52">
        <v>2</v>
      </c>
      <c r="AH128" s="1" t="s">
        <v>110</v>
      </c>
      <c r="AI128" s="55">
        <v>315000</v>
      </c>
      <c r="AK128" s="116"/>
      <c r="AL128" s="116"/>
      <c r="AM128" s="116"/>
      <c r="AN128" s="116"/>
      <c r="AO128" s="116"/>
    </row>
    <row r="129" spans="1:41" ht="15" customHeight="1" x14ac:dyDescent="0.3">
      <c r="A129" s="25">
        <v>1</v>
      </c>
      <c r="B129" s="4" t="s">
        <v>13</v>
      </c>
      <c r="C129" s="6">
        <f>3*0.5*100000</f>
        <v>150000</v>
      </c>
      <c r="D129" s="6">
        <f t="shared" ref="D129:N129" si="86">3*0.5*100000</f>
        <v>150000</v>
      </c>
      <c r="E129" s="6">
        <f t="shared" si="86"/>
        <v>150000</v>
      </c>
      <c r="F129" s="6">
        <f t="shared" si="86"/>
        <v>150000</v>
      </c>
      <c r="G129" s="6">
        <f t="shared" si="86"/>
        <v>150000</v>
      </c>
      <c r="H129" s="6">
        <f t="shared" si="86"/>
        <v>150000</v>
      </c>
      <c r="I129" s="6">
        <f t="shared" si="86"/>
        <v>150000</v>
      </c>
      <c r="J129" s="6">
        <f t="shared" si="86"/>
        <v>150000</v>
      </c>
      <c r="K129" s="6">
        <f t="shared" si="86"/>
        <v>150000</v>
      </c>
      <c r="L129" s="6">
        <f t="shared" si="86"/>
        <v>150000</v>
      </c>
      <c r="M129" s="6">
        <f t="shared" si="86"/>
        <v>150000</v>
      </c>
      <c r="N129" s="6">
        <f t="shared" si="86"/>
        <v>150000</v>
      </c>
      <c r="O129" s="5">
        <f t="shared" ref="O129:O134" si="87">SUM(C129:N129)</f>
        <v>1800000</v>
      </c>
      <c r="Q129" s="52">
        <v>1</v>
      </c>
      <c r="R129" s="4" t="s">
        <v>13</v>
      </c>
      <c r="S129" s="6">
        <f>(3*0.75*120000)*3</f>
        <v>810000</v>
      </c>
      <c r="T129" s="6">
        <f t="shared" ref="T129:V129" si="88">(3*0.75*120000)*3</f>
        <v>810000</v>
      </c>
      <c r="U129" s="6">
        <f t="shared" si="88"/>
        <v>810000</v>
      </c>
      <c r="V129" s="6">
        <f t="shared" si="88"/>
        <v>810000</v>
      </c>
      <c r="W129" s="5">
        <f>SUM(S129:V129)</f>
        <v>3240000</v>
      </c>
      <c r="Y129" s="52">
        <v>1</v>
      </c>
      <c r="Z129" s="4" t="s">
        <v>13</v>
      </c>
      <c r="AA129" s="6">
        <f>(3*150000)*3</f>
        <v>1350000</v>
      </c>
      <c r="AB129" s="6">
        <f t="shared" ref="AB129:AD129" si="89">(3*150000)*3</f>
        <v>1350000</v>
      </c>
      <c r="AC129" s="6">
        <f t="shared" si="89"/>
        <v>1350000</v>
      </c>
      <c r="AD129" s="6">
        <f t="shared" si="89"/>
        <v>1350000</v>
      </c>
      <c r="AE129" s="5">
        <f>SUM(AA129:AD129)</f>
        <v>5400000</v>
      </c>
      <c r="AG129" s="52">
        <v>3</v>
      </c>
      <c r="AH129" s="45" t="s">
        <v>111</v>
      </c>
      <c r="AI129" s="55">
        <v>120000</v>
      </c>
      <c r="AK129" s="116"/>
      <c r="AL129" s="116"/>
      <c r="AM129" s="116"/>
      <c r="AN129" s="116"/>
      <c r="AO129" s="116"/>
    </row>
    <row r="130" spans="1:41" ht="14.25" customHeight="1" x14ac:dyDescent="0.3">
      <c r="A130" s="25">
        <v>2</v>
      </c>
      <c r="B130" s="4" t="s">
        <v>86</v>
      </c>
      <c r="C130" s="6">
        <v>40000</v>
      </c>
      <c r="D130" s="6">
        <v>40000</v>
      </c>
      <c r="E130" s="6">
        <v>40000</v>
      </c>
      <c r="F130" s="6">
        <v>40000</v>
      </c>
      <c r="G130" s="6">
        <v>40000</v>
      </c>
      <c r="H130" s="6">
        <v>40000</v>
      </c>
      <c r="I130" s="6">
        <v>40000</v>
      </c>
      <c r="J130" s="6">
        <v>40000</v>
      </c>
      <c r="K130" s="6">
        <v>40000</v>
      </c>
      <c r="L130" s="6">
        <v>40000</v>
      </c>
      <c r="M130" s="6">
        <v>40000</v>
      </c>
      <c r="N130" s="6">
        <v>40000</v>
      </c>
      <c r="O130" s="5">
        <f t="shared" si="87"/>
        <v>480000</v>
      </c>
      <c r="Q130" s="52">
        <v>2</v>
      </c>
      <c r="R130" s="4" t="s">
        <v>86</v>
      </c>
      <c r="S130" s="6">
        <f>90000*0.75*3</f>
        <v>202500</v>
      </c>
      <c r="T130" s="6">
        <f>S130</f>
        <v>202500</v>
      </c>
      <c r="U130" s="6">
        <f t="shared" ref="U130:V130" si="90">T130</f>
        <v>202500</v>
      </c>
      <c r="V130" s="6">
        <f t="shared" si="90"/>
        <v>202500</v>
      </c>
      <c r="W130" s="5">
        <f>SUM(S130:V130)</f>
        <v>810000</v>
      </c>
      <c r="Y130" s="52">
        <v>2</v>
      </c>
      <c r="Z130" s="4" t="s">
        <v>86</v>
      </c>
      <c r="AA130" s="6">
        <f>100000*3</f>
        <v>300000</v>
      </c>
      <c r="AB130" s="6">
        <f>AA130</f>
        <v>300000</v>
      </c>
      <c r="AC130" s="6">
        <f t="shared" ref="AC130:AD130" si="91">AB130</f>
        <v>300000</v>
      </c>
      <c r="AD130" s="6">
        <f t="shared" si="91"/>
        <v>300000</v>
      </c>
      <c r="AE130" s="5">
        <f>SUM(AA130:AD130)</f>
        <v>1200000</v>
      </c>
      <c r="AG130" s="52">
        <v>4</v>
      </c>
      <c r="AH130" s="45" t="s">
        <v>146</v>
      </c>
      <c r="AI130" s="55">
        <f>AI89*12%</f>
        <v>108000</v>
      </c>
      <c r="AK130" s="116"/>
      <c r="AL130" s="116"/>
      <c r="AM130" s="116"/>
      <c r="AN130" s="116"/>
      <c r="AO130" s="116"/>
    </row>
    <row r="131" spans="1:41" ht="15" customHeight="1" x14ac:dyDescent="0.3">
      <c r="A131" s="25">
        <v>3</v>
      </c>
      <c r="B131" s="4" t="s">
        <v>78</v>
      </c>
      <c r="C131" s="6">
        <v>120000</v>
      </c>
      <c r="D131" s="6">
        <v>120000</v>
      </c>
      <c r="E131" s="6">
        <v>120000</v>
      </c>
      <c r="F131" s="6">
        <v>120000</v>
      </c>
      <c r="G131" s="6">
        <v>120000</v>
      </c>
      <c r="H131" s="6">
        <v>120000</v>
      </c>
      <c r="I131" s="6">
        <v>120000</v>
      </c>
      <c r="J131" s="6">
        <v>120000</v>
      </c>
      <c r="K131" s="6">
        <v>120000</v>
      </c>
      <c r="L131" s="6">
        <v>120000</v>
      </c>
      <c r="M131" s="6">
        <v>120000</v>
      </c>
      <c r="N131" s="6">
        <v>120000</v>
      </c>
      <c r="O131" s="5">
        <f t="shared" si="87"/>
        <v>1440000</v>
      </c>
      <c r="Q131" s="52">
        <v>3</v>
      </c>
      <c r="R131" s="4" t="s">
        <v>78</v>
      </c>
      <c r="S131" s="6">
        <f>135000*3</f>
        <v>405000</v>
      </c>
      <c r="T131" s="6">
        <f>S131</f>
        <v>405000</v>
      </c>
      <c r="U131" s="6">
        <f t="shared" ref="U131:V131" si="92">T131</f>
        <v>405000</v>
      </c>
      <c r="V131" s="6">
        <f t="shared" si="92"/>
        <v>405000</v>
      </c>
      <c r="W131" s="5">
        <f>SUM(S131:V131)</f>
        <v>1620000</v>
      </c>
      <c r="Y131" s="52">
        <v>3</v>
      </c>
      <c r="Z131" s="4" t="s">
        <v>78</v>
      </c>
      <c r="AA131" s="6">
        <f>140000*3</f>
        <v>420000</v>
      </c>
      <c r="AB131" s="6">
        <f>AA131</f>
        <v>420000</v>
      </c>
      <c r="AC131" s="6">
        <f t="shared" ref="AC131:AD131" si="93">AB131</f>
        <v>420000</v>
      </c>
      <c r="AD131" s="6">
        <f t="shared" si="93"/>
        <v>420000</v>
      </c>
      <c r="AE131" s="5">
        <f>SUM(AA131:AD131)</f>
        <v>1680000</v>
      </c>
      <c r="AG131" s="52">
        <v>5</v>
      </c>
      <c r="AH131" s="1" t="s">
        <v>80</v>
      </c>
      <c r="AI131" s="54">
        <v>96000</v>
      </c>
      <c r="AK131" s="116"/>
      <c r="AL131" s="116"/>
      <c r="AM131" s="116"/>
      <c r="AN131" s="116"/>
      <c r="AO131" s="116"/>
    </row>
    <row r="132" spans="1:41" ht="14.4" customHeight="1" x14ac:dyDescent="0.3">
      <c r="A132" s="25">
        <v>4</v>
      </c>
      <c r="B132" s="4" t="s">
        <v>101</v>
      </c>
      <c r="C132" s="6">
        <f>N70</f>
        <v>1666.6666666666667</v>
      </c>
      <c r="D132" s="6">
        <f>$C$132+C133*(1/6)*(1/12)</f>
        <v>3055.5555555555557</v>
      </c>
      <c r="E132" s="6">
        <f>D132</f>
        <v>3055.5555555555557</v>
      </c>
      <c r="F132" s="6">
        <f t="shared" ref="F132:N132" si="94">E132</f>
        <v>3055.5555555555557</v>
      </c>
      <c r="G132" s="6">
        <f t="shared" si="94"/>
        <v>3055.5555555555557</v>
      </c>
      <c r="H132" s="6">
        <f t="shared" si="94"/>
        <v>3055.5555555555557</v>
      </c>
      <c r="I132" s="6">
        <f t="shared" si="94"/>
        <v>3055.5555555555557</v>
      </c>
      <c r="J132" s="6">
        <f t="shared" si="94"/>
        <v>3055.5555555555557</v>
      </c>
      <c r="K132" s="6">
        <f t="shared" si="94"/>
        <v>3055.5555555555557</v>
      </c>
      <c r="L132" s="6">
        <f t="shared" si="94"/>
        <v>3055.5555555555557</v>
      </c>
      <c r="M132" s="6">
        <f t="shared" si="94"/>
        <v>3055.5555555555557</v>
      </c>
      <c r="N132" s="6">
        <f t="shared" si="94"/>
        <v>3055.5555555555557</v>
      </c>
      <c r="O132" s="5">
        <f t="shared" si="87"/>
        <v>35277.777777777774</v>
      </c>
      <c r="Q132" s="52">
        <v>4</v>
      </c>
      <c r="R132" s="4" t="s">
        <v>101</v>
      </c>
      <c r="S132" s="6">
        <f>D132</f>
        <v>3055.5555555555557</v>
      </c>
      <c r="T132" s="6">
        <f>S132</f>
        <v>3055.5555555555557</v>
      </c>
      <c r="U132" s="6">
        <f t="shared" ref="U132:V132" si="95">T132</f>
        <v>3055.5555555555557</v>
      </c>
      <c r="V132" s="6">
        <f t="shared" si="95"/>
        <v>3055.5555555555557</v>
      </c>
      <c r="W132" s="5">
        <f>SUM(S132:V132)</f>
        <v>12222.222222222223</v>
      </c>
      <c r="Y132" s="52">
        <v>4</v>
      </c>
      <c r="Z132" s="4" t="s">
        <v>101</v>
      </c>
      <c r="AA132" s="6">
        <f>L132</f>
        <v>3055.5555555555557</v>
      </c>
      <c r="AB132" s="6">
        <f>AA132</f>
        <v>3055.5555555555557</v>
      </c>
      <c r="AC132" s="6">
        <f t="shared" ref="AC132:AD132" si="96">AB132</f>
        <v>3055.5555555555557</v>
      </c>
      <c r="AD132" s="6">
        <f t="shared" si="96"/>
        <v>3055.5555555555557</v>
      </c>
      <c r="AE132" s="5">
        <f>SUM(AA132:AD132)</f>
        <v>12222.222222222223</v>
      </c>
      <c r="AG132" s="131" t="s">
        <v>18</v>
      </c>
      <c r="AH132" s="131"/>
      <c r="AI132" s="131"/>
      <c r="AK132" s="116"/>
      <c r="AL132" s="116"/>
      <c r="AM132" s="116"/>
      <c r="AN132" s="116"/>
      <c r="AO132" s="116"/>
    </row>
    <row r="133" spans="1:41" ht="15" customHeight="1" x14ac:dyDescent="0.3">
      <c r="A133" s="25">
        <v>5</v>
      </c>
      <c r="B133" s="4" t="s">
        <v>87</v>
      </c>
      <c r="C133" s="6">
        <v>100000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5">
        <f t="shared" si="87"/>
        <v>100000</v>
      </c>
      <c r="Q133" s="52">
        <v>6</v>
      </c>
      <c r="R133" s="4" t="s">
        <v>16</v>
      </c>
      <c r="S133" s="6">
        <f>550000/12*3</f>
        <v>137500</v>
      </c>
      <c r="T133" s="6">
        <f>S133</f>
        <v>137500</v>
      </c>
      <c r="U133" s="6">
        <f t="shared" ref="U133:V133" si="97">T133</f>
        <v>137500</v>
      </c>
      <c r="V133" s="6">
        <f t="shared" si="97"/>
        <v>137500</v>
      </c>
      <c r="W133" s="5">
        <f>SUM(S133:V133)</f>
        <v>550000</v>
      </c>
      <c r="Y133" s="52">
        <v>6</v>
      </c>
      <c r="Z133" s="4" t="s">
        <v>16</v>
      </c>
      <c r="AA133" s="6">
        <f>600000/12*3</f>
        <v>150000</v>
      </c>
      <c r="AB133" s="6">
        <f>AA133</f>
        <v>150000</v>
      </c>
      <c r="AC133" s="6">
        <f t="shared" ref="AC133:AD133" si="98">AB133</f>
        <v>150000</v>
      </c>
      <c r="AD133" s="6">
        <f t="shared" si="98"/>
        <v>150000</v>
      </c>
      <c r="AE133" s="5">
        <f>SUM(AA133:AD133)</f>
        <v>600000</v>
      </c>
      <c r="AG133" s="52">
        <v>6</v>
      </c>
      <c r="AH133" s="1" t="s">
        <v>81</v>
      </c>
      <c r="AI133" s="55">
        <v>52500</v>
      </c>
      <c r="AK133" s="116"/>
      <c r="AL133" s="116"/>
      <c r="AM133" s="116"/>
      <c r="AN133" s="116"/>
      <c r="AO133" s="116"/>
    </row>
    <row r="134" spans="1:41" x14ac:dyDescent="0.3">
      <c r="A134" s="25">
        <v>6</v>
      </c>
      <c r="B134" s="4" t="s">
        <v>16</v>
      </c>
      <c r="C134" s="6">
        <f>500000/12</f>
        <v>41666.666666666664</v>
      </c>
      <c r="D134" s="6">
        <f t="shared" ref="D134:N134" si="99">500000/12</f>
        <v>41666.666666666664</v>
      </c>
      <c r="E134" s="6">
        <f t="shared" si="99"/>
        <v>41666.666666666664</v>
      </c>
      <c r="F134" s="6">
        <f t="shared" si="99"/>
        <v>41666.666666666664</v>
      </c>
      <c r="G134" s="6">
        <f t="shared" si="99"/>
        <v>41666.666666666664</v>
      </c>
      <c r="H134" s="6">
        <f t="shared" si="99"/>
        <v>41666.666666666664</v>
      </c>
      <c r="I134" s="6">
        <f t="shared" si="99"/>
        <v>41666.666666666664</v>
      </c>
      <c r="J134" s="6">
        <f t="shared" si="99"/>
        <v>41666.666666666664</v>
      </c>
      <c r="K134" s="6">
        <f t="shared" si="99"/>
        <v>41666.666666666664</v>
      </c>
      <c r="L134" s="6">
        <f t="shared" si="99"/>
        <v>41666.666666666664</v>
      </c>
      <c r="M134" s="6">
        <f t="shared" si="99"/>
        <v>41666.666666666664</v>
      </c>
      <c r="N134" s="6">
        <f t="shared" si="99"/>
        <v>41666.666666666664</v>
      </c>
      <c r="O134" s="5">
        <f t="shared" si="87"/>
        <v>500000.00000000006</v>
      </c>
      <c r="Q134" s="126" t="s">
        <v>18</v>
      </c>
      <c r="R134" s="127"/>
      <c r="S134" s="127"/>
      <c r="T134" s="127"/>
      <c r="U134" s="127"/>
      <c r="V134" s="128"/>
      <c r="W134" s="1"/>
      <c r="Y134" s="126" t="s">
        <v>18</v>
      </c>
      <c r="Z134" s="127"/>
      <c r="AA134" s="127"/>
      <c r="AB134" s="127"/>
      <c r="AC134" s="127"/>
      <c r="AD134" s="128"/>
      <c r="AE134" s="1"/>
      <c r="AG134" s="52">
        <v>7</v>
      </c>
      <c r="AH134" s="1" t="s">
        <v>83</v>
      </c>
      <c r="AI134" s="54">
        <v>144000</v>
      </c>
      <c r="AK134" s="116"/>
      <c r="AL134" s="116"/>
      <c r="AM134" s="116"/>
      <c r="AN134" s="116"/>
      <c r="AO134" s="116"/>
    </row>
    <row r="135" spans="1:41" ht="15" customHeight="1" x14ac:dyDescent="0.3">
      <c r="A135" s="123" t="s">
        <v>18</v>
      </c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5"/>
      <c r="O135" s="31"/>
      <c r="Q135" s="52">
        <v>6</v>
      </c>
      <c r="R135" s="4" t="s">
        <v>19</v>
      </c>
      <c r="S135" s="6">
        <f>1000000/12*3</f>
        <v>250000</v>
      </c>
      <c r="T135" s="6">
        <f>S135</f>
        <v>250000</v>
      </c>
      <c r="U135" s="6">
        <f t="shared" ref="U135:V135" si="100">T135</f>
        <v>250000</v>
      </c>
      <c r="V135" s="6">
        <f t="shared" si="100"/>
        <v>250000</v>
      </c>
      <c r="W135" s="5">
        <f>SUM(S135:V135)</f>
        <v>1000000</v>
      </c>
      <c r="Y135" s="52">
        <v>6</v>
      </c>
      <c r="Z135" s="4" t="s">
        <v>19</v>
      </c>
      <c r="AA135" s="6">
        <f>1500000/12*3</f>
        <v>375000</v>
      </c>
      <c r="AB135" s="6">
        <f>AA135</f>
        <v>375000</v>
      </c>
      <c r="AC135" s="6">
        <f t="shared" ref="AC135:AD135" si="101">AB135</f>
        <v>375000</v>
      </c>
      <c r="AD135" s="6">
        <f t="shared" si="101"/>
        <v>375000</v>
      </c>
      <c r="AE135" s="5">
        <f>SUM(AA135:AD135)</f>
        <v>1500000</v>
      </c>
      <c r="AG135" s="52">
        <v>8</v>
      </c>
      <c r="AH135" s="1" t="s">
        <v>82</v>
      </c>
      <c r="AI135" s="54">
        <v>90000</v>
      </c>
      <c r="AK135" s="116"/>
      <c r="AL135" s="116"/>
      <c r="AM135" s="116"/>
      <c r="AN135" s="116"/>
      <c r="AO135" s="116"/>
    </row>
    <row r="136" spans="1:41" x14ac:dyDescent="0.3">
      <c r="A136" s="25">
        <v>6</v>
      </c>
      <c r="B136" s="4" t="s">
        <v>19</v>
      </c>
      <c r="C136" s="6">
        <f>600000/12</f>
        <v>50000</v>
      </c>
      <c r="D136" s="6">
        <f t="shared" ref="D136:N136" si="102">600000/12</f>
        <v>50000</v>
      </c>
      <c r="E136" s="6">
        <f t="shared" si="102"/>
        <v>50000</v>
      </c>
      <c r="F136" s="6">
        <f t="shared" si="102"/>
        <v>50000</v>
      </c>
      <c r="G136" s="6">
        <f t="shared" si="102"/>
        <v>50000</v>
      </c>
      <c r="H136" s="6">
        <f t="shared" si="102"/>
        <v>50000</v>
      </c>
      <c r="I136" s="6">
        <f t="shared" si="102"/>
        <v>50000</v>
      </c>
      <c r="J136" s="6">
        <f t="shared" si="102"/>
        <v>50000</v>
      </c>
      <c r="K136" s="6">
        <f t="shared" si="102"/>
        <v>50000</v>
      </c>
      <c r="L136" s="6">
        <f t="shared" si="102"/>
        <v>50000</v>
      </c>
      <c r="M136" s="6">
        <f t="shared" si="102"/>
        <v>50000</v>
      </c>
      <c r="N136" s="6">
        <f t="shared" si="102"/>
        <v>50000</v>
      </c>
      <c r="O136" s="5">
        <f>SUM(C136:N136)</f>
        <v>600000</v>
      </c>
      <c r="Q136" s="52">
        <v>7</v>
      </c>
      <c r="R136" s="4" t="s">
        <v>102</v>
      </c>
      <c r="S136" s="6">
        <f>60000*3</f>
        <v>180000</v>
      </c>
      <c r="T136" s="6">
        <f>S136</f>
        <v>180000</v>
      </c>
      <c r="U136" s="6">
        <f t="shared" ref="U136:V136" si="103">T136</f>
        <v>180000</v>
      </c>
      <c r="V136" s="6">
        <f t="shared" si="103"/>
        <v>180000</v>
      </c>
      <c r="W136" s="5">
        <f>SUM(S136:V136)</f>
        <v>720000</v>
      </c>
      <c r="Y136" s="52">
        <v>7</v>
      </c>
      <c r="Z136" s="4" t="s">
        <v>102</v>
      </c>
      <c r="AA136" s="6">
        <f>65000*3</f>
        <v>195000</v>
      </c>
      <c r="AB136" s="6">
        <f>AA136</f>
        <v>195000</v>
      </c>
      <c r="AC136" s="6">
        <f t="shared" ref="AC136:AD136" si="104">AB136</f>
        <v>195000</v>
      </c>
      <c r="AD136" s="6">
        <f t="shared" si="104"/>
        <v>195000</v>
      </c>
      <c r="AE136" s="5">
        <f>SUM(AA136:AD136)</f>
        <v>780000</v>
      </c>
      <c r="AG136" s="131" t="s">
        <v>108</v>
      </c>
      <c r="AH136" s="131"/>
      <c r="AI136" s="131"/>
      <c r="AK136" s="116"/>
      <c r="AL136" s="116"/>
      <c r="AM136" s="116"/>
      <c r="AN136" s="116"/>
      <c r="AO136" s="116"/>
    </row>
    <row r="137" spans="1:41" ht="15" customHeight="1" x14ac:dyDescent="0.3">
      <c r="A137" s="25">
        <v>7</v>
      </c>
      <c r="B137" s="4" t="s">
        <v>102</v>
      </c>
      <c r="C137" s="6">
        <v>40000</v>
      </c>
      <c r="D137" s="6">
        <v>40000</v>
      </c>
      <c r="E137" s="6">
        <v>40000</v>
      </c>
      <c r="F137" s="6">
        <v>40000</v>
      </c>
      <c r="G137" s="6">
        <v>40000</v>
      </c>
      <c r="H137" s="6">
        <v>40000</v>
      </c>
      <c r="I137" s="6">
        <v>40000</v>
      </c>
      <c r="J137" s="6">
        <v>40000</v>
      </c>
      <c r="K137" s="6">
        <v>40000</v>
      </c>
      <c r="L137" s="6">
        <v>40000</v>
      </c>
      <c r="M137" s="6">
        <v>40000</v>
      </c>
      <c r="N137" s="6">
        <v>40000</v>
      </c>
      <c r="O137" s="5">
        <f>SUM(C137:N137)</f>
        <v>480000</v>
      </c>
      <c r="Q137" s="52">
        <v>8</v>
      </c>
      <c r="R137" s="4" t="s">
        <v>100</v>
      </c>
      <c r="S137" s="6">
        <f>500000/12*3</f>
        <v>125000</v>
      </c>
      <c r="T137" s="6">
        <f>S137</f>
        <v>125000</v>
      </c>
      <c r="U137" s="6">
        <f t="shared" ref="U137:V137" si="105">T137</f>
        <v>125000</v>
      </c>
      <c r="V137" s="6">
        <f t="shared" si="105"/>
        <v>125000</v>
      </c>
      <c r="W137" s="5">
        <f>SUM(S137:V137)</f>
        <v>500000</v>
      </c>
      <c r="Y137" s="52">
        <v>8</v>
      </c>
      <c r="Z137" s="4" t="s">
        <v>100</v>
      </c>
      <c r="AA137" s="6">
        <f>550000/12*3</f>
        <v>137500</v>
      </c>
      <c r="AB137" s="6">
        <f>AA137</f>
        <v>137500</v>
      </c>
      <c r="AC137" s="6">
        <f t="shared" ref="AC137:AD137" si="106">AB137</f>
        <v>137500</v>
      </c>
      <c r="AD137" s="6">
        <f t="shared" si="106"/>
        <v>137500</v>
      </c>
      <c r="AE137" s="5">
        <f>SUM(AA137:AD137)</f>
        <v>550000</v>
      </c>
      <c r="AG137" s="52">
        <v>9</v>
      </c>
      <c r="AH137" s="1" t="s">
        <v>113</v>
      </c>
      <c r="AI137" s="55">
        <v>54600</v>
      </c>
      <c r="AK137" s="63"/>
      <c r="AL137" s="63"/>
      <c r="AM137" s="63"/>
      <c r="AN137" s="63"/>
      <c r="AO137" s="63"/>
    </row>
    <row r="138" spans="1:41" x14ac:dyDescent="0.3">
      <c r="A138" s="25">
        <v>8</v>
      </c>
      <c r="B138" s="4" t="s">
        <v>100</v>
      </c>
      <c r="C138" s="6">
        <f>250000/12</f>
        <v>20833.333333333332</v>
      </c>
      <c r="D138" s="6">
        <f t="shared" ref="D138:N138" si="107">250000/12</f>
        <v>20833.333333333332</v>
      </c>
      <c r="E138" s="6">
        <f t="shared" si="107"/>
        <v>20833.333333333332</v>
      </c>
      <c r="F138" s="6">
        <f t="shared" si="107"/>
        <v>20833.333333333332</v>
      </c>
      <c r="G138" s="6">
        <f t="shared" si="107"/>
        <v>20833.333333333332</v>
      </c>
      <c r="H138" s="6">
        <f t="shared" si="107"/>
        <v>20833.333333333332</v>
      </c>
      <c r="I138" s="6">
        <f t="shared" si="107"/>
        <v>20833.333333333332</v>
      </c>
      <c r="J138" s="6">
        <f t="shared" si="107"/>
        <v>20833.333333333332</v>
      </c>
      <c r="K138" s="6">
        <f t="shared" si="107"/>
        <v>20833.333333333332</v>
      </c>
      <c r="L138" s="6">
        <f t="shared" si="107"/>
        <v>20833.333333333332</v>
      </c>
      <c r="M138" s="6">
        <f t="shared" si="107"/>
        <v>20833.333333333332</v>
      </c>
      <c r="N138" s="6">
        <f t="shared" si="107"/>
        <v>20833.333333333332</v>
      </c>
      <c r="O138" s="5">
        <f>SUM(C138:N138)</f>
        <v>250000.00000000003</v>
      </c>
      <c r="Q138" s="123" t="s">
        <v>20</v>
      </c>
      <c r="R138" s="124"/>
      <c r="S138" s="124"/>
      <c r="T138" s="124"/>
      <c r="U138" s="124"/>
      <c r="V138" s="125"/>
      <c r="W138" s="1"/>
      <c r="Y138" s="123" t="s">
        <v>20</v>
      </c>
      <c r="Z138" s="124"/>
      <c r="AA138" s="124"/>
      <c r="AB138" s="124"/>
      <c r="AC138" s="124"/>
      <c r="AD138" s="125"/>
      <c r="AE138" s="1"/>
      <c r="AG138" s="52">
        <v>10</v>
      </c>
      <c r="AH138" s="1" t="s">
        <v>115</v>
      </c>
      <c r="AI138" s="55">
        <v>19500</v>
      </c>
    </row>
    <row r="139" spans="1:41" ht="15" customHeight="1" x14ac:dyDescent="0.3">
      <c r="A139" s="123" t="s">
        <v>20</v>
      </c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5"/>
      <c r="O139" s="31"/>
      <c r="Q139" s="52">
        <v>9</v>
      </c>
      <c r="R139" s="4" t="s">
        <v>14</v>
      </c>
      <c r="S139" s="6">
        <f>3000*3</f>
        <v>9000</v>
      </c>
      <c r="T139" s="6">
        <f>S139</f>
        <v>9000</v>
      </c>
      <c r="U139" s="6">
        <f t="shared" ref="U139:V139" si="108">T139</f>
        <v>9000</v>
      </c>
      <c r="V139" s="6">
        <f t="shared" si="108"/>
        <v>9000</v>
      </c>
      <c r="W139" s="5">
        <f>SUM(S139:V139)</f>
        <v>36000</v>
      </c>
      <c r="Y139" s="52">
        <v>9</v>
      </c>
      <c r="Z139" s="4" t="s">
        <v>14</v>
      </c>
      <c r="AA139" s="6">
        <f>4000*3</f>
        <v>12000</v>
      </c>
      <c r="AB139" s="6">
        <f>AA139</f>
        <v>12000</v>
      </c>
      <c r="AC139" s="6">
        <f t="shared" ref="AC139:AD139" si="109">AB139</f>
        <v>12000</v>
      </c>
      <c r="AD139" s="6">
        <f t="shared" si="109"/>
        <v>12000</v>
      </c>
      <c r="AE139" s="5">
        <f>SUM(AA139:AD139)</f>
        <v>48000</v>
      </c>
      <c r="AG139" s="52">
        <v>11</v>
      </c>
      <c r="AH139" s="1" t="s">
        <v>114</v>
      </c>
      <c r="AI139" s="55">
        <v>1200000</v>
      </c>
    </row>
    <row r="140" spans="1:41" ht="14.4" customHeight="1" x14ac:dyDescent="0.3">
      <c r="A140" s="25">
        <v>9</v>
      </c>
      <c r="B140" s="4" t="s">
        <v>14</v>
      </c>
      <c r="C140" s="6">
        <v>2000</v>
      </c>
      <c r="D140" s="6">
        <v>2000</v>
      </c>
      <c r="E140" s="6">
        <v>2000</v>
      </c>
      <c r="F140" s="6">
        <v>2000</v>
      </c>
      <c r="G140" s="6">
        <v>2000</v>
      </c>
      <c r="H140" s="6">
        <v>2000</v>
      </c>
      <c r="I140" s="6">
        <v>2000</v>
      </c>
      <c r="J140" s="6">
        <v>2000</v>
      </c>
      <c r="K140" s="6">
        <v>2000</v>
      </c>
      <c r="L140" s="6">
        <v>2000</v>
      </c>
      <c r="M140" s="6">
        <v>2000</v>
      </c>
      <c r="N140" s="6">
        <v>2000</v>
      </c>
      <c r="O140" s="5">
        <f>SUM(C140:N140)</f>
        <v>24000</v>
      </c>
      <c r="Q140" s="52">
        <v>10</v>
      </c>
      <c r="R140" s="4" t="s">
        <v>106</v>
      </c>
      <c r="S140" s="6">
        <f>500000/12*3</f>
        <v>125000</v>
      </c>
      <c r="T140" s="6">
        <f>S140</f>
        <v>125000</v>
      </c>
      <c r="U140" s="6">
        <f t="shared" ref="U140:V140" si="110">T140</f>
        <v>125000</v>
      </c>
      <c r="V140" s="6">
        <f t="shared" si="110"/>
        <v>125000</v>
      </c>
      <c r="W140" s="5">
        <f>SUM(S140:V140)</f>
        <v>500000</v>
      </c>
      <c r="Y140" s="52">
        <v>10</v>
      </c>
      <c r="Z140" s="4" t="s">
        <v>106</v>
      </c>
      <c r="AA140" s="6">
        <f>550000/12*3</f>
        <v>137500</v>
      </c>
      <c r="AB140" s="6">
        <f>AA140</f>
        <v>137500</v>
      </c>
      <c r="AC140" s="6">
        <f t="shared" ref="AC140:AD140" si="111">AB140</f>
        <v>137500</v>
      </c>
      <c r="AD140" s="6">
        <f t="shared" si="111"/>
        <v>137500</v>
      </c>
      <c r="AE140" s="5">
        <f>SUM(AA140:AD140)</f>
        <v>550000</v>
      </c>
      <c r="AG140" s="52">
        <v>12</v>
      </c>
      <c r="AH140" s="57" t="s">
        <v>138</v>
      </c>
      <c r="AI140" s="55">
        <v>500000</v>
      </c>
    </row>
    <row r="141" spans="1:41" ht="15" customHeight="1" x14ac:dyDescent="0.3">
      <c r="A141" s="25">
        <v>10</v>
      </c>
      <c r="B141" s="4" t="s">
        <v>106</v>
      </c>
      <c r="C141" s="6">
        <v>40000</v>
      </c>
      <c r="D141" s="6">
        <v>40000</v>
      </c>
      <c r="E141" s="6">
        <v>40000</v>
      </c>
      <c r="F141" s="6">
        <v>40000</v>
      </c>
      <c r="G141" s="6">
        <v>40000</v>
      </c>
      <c r="H141" s="6">
        <v>40000</v>
      </c>
      <c r="I141" s="6">
        <v>40000</v>
      </c>
      <c r="J141" s="6">
        <v>40000</v>
      </c>
      <c r="K141" s="6">
        <v>40000</v>
      </c>
      <c r="L141" s="6">
        <v>40000</v>
      </c>
      <c r="M141" s="6">
        <v>40000</v>
      </c>
      <c r="N141" s="6">
        <v>40000</v>
      </c>
      <c r="O141" s="5">
        <f>SUM(C141:N141)</f>
        <v>480000</v>
      </c>
      <c r="Q141" s="52">
        <v>11</v>
      </c>
      <c r="R141" s="4" t="s">
        <v>21</v>
      </c>
      <c r="S141" s="6">
        <f>(S129+S130+S131)*0.33</f>
        <v>467775</v>
      </c>
      <c r="T141" s="6">
        <f t="shared" ref="T141:U141" si="112">(T129+T130+T131)*0.33</f>
        <v>467775</v>
      </c>
      <c r="U141" s="6">
        <f t="shared" si="112"/>
        <v>467775</v>
      </c>
      <c r="V141" s="6">
        <f>(V129+V130+V131)*0.33</f>
        <v>467775</v>
      </c>
      <c r="W141" s="5">
        <f>SUM(S141:V141)</f>
        <v>1871100</v>
      </c>
      <c r="Y141" s="52">
        <v>11</v>
      </c>
      <c r="Z141" s="4" t="s">
        <v>21</v>
      </c>
      <c r="AA141" s="6">
        <f>(AA129+AA130+AA131)*0.33</f>
        <v>683100</v>
      </c>
      <c r="AB141" s="6">
        <f t="shared" ref="AB141:AC141" si="113">(AB129+AB130+AB131)*0.33</f>
        <v>683100</v>
      </c>
      <c r="AC141" s="6">
        <f t="shared" si="113"/>
        <v>683100</v>
      </c>
      <c r="AD141" s="6">
        <f>(AD129+AD130+AD131)*0.33</f>
        <v>683100</v>
      </c>
      <c r="AE141" s="5">
        <f>SUM(AA141:AD141)</f>
        <v>2732400</v>
      </c>
      <c r="AG141" s="129" t="s">
        <v>23</v>
      </c>
      <c r="AH141" s="130"/>
      <c r="AI141" s="46">
        <f>SUM(AI126)+SUM(AI128:AI131)+SUM(AI133:AI135)+SUM(AI137:AI140)</f>
        <v>2753600</v>
      </c>
    </row>
    <row r="142" spans="1:41" ht="15" customHeight="1" x14ac:dyDescent="0.3">
      <c r="A142" s="25">
        <v>11</v>
      </c>
      <c r="B142" s="4" t="s">
        <v>21</v>
      </c>
      <c r="C142" s="6">
        <f>(C129+C130+C131)*0.33</f>
        <v>102300</v>
      </c>
      <c r="D142" s="6">
        <f t="shared" ref="D142:N142" si="114">(D129+D130+D131)*0.33</f>
        <v>102300</v>
      </c>
      <c r="E142" s="6">
        <f t="shared" si="114"/>
        <v>102300</v>
      </c>
      <c r="F142" s="6">
        <f t="shared" si="114"/>
        <v>102300</v>
      </c>
      <c r="G142" s="6">
        <f t="shared" si="114"/>
        <v>102300</v>
      </c>
      <c r="H142" s="6">
        <f t="shared" si="114"/>
        <v>102300</v>
      </c>
      <c r="I142" s="6">
        <f t="shared" si="114"/>
        <v>102300</v>
      </c>
      <c r="J142" s="6">
        <f t="shared" si="114"/>
        <v>102300</v>
      </c>
      <c r="K142" s="6">
        <f t="shared" si="114"/>
        <v>102300</v>
      </c>
      <c r="L142" s="6">
        <f t="shared" si="114"/>
        <v>102300</v>
      </c>
      <c r="M142" s="6">
        <f t="shared" si="114"/>
        <v>102300</v>
      </c>
      <c r="N142" s="6">
        <f t="shared" si="114"/>
        <v>102300</v>
      </c>
      <c r="O142" s="5">
        <f>SUM(C142:N142)</f>
        <v>1227600</v>
      </c>
      <c r="Q142" s="52">
        <v>12</v>
      </c>
      <c r="R142" s="4" t="s">
        <v>103</v>
      </c>
      <c r="S142" s="6">
        <f>20000*3</f>
        <v>60000</v>
      </c>
      <c r="T142" s="6">
        <f>S142</f>
        <v>60000</v>
      </c>
      <c r="U142" s="6">
        <f t="shared" ref="U142:V142" si="115">T142</f>
        <v>60000</v>
      </c>
      <c r="V142" s="6">
        <f t="shared" si="115"/>
        <v>60000</v>
      </c>
      <c r="W142" s="5">
        <f>SUM(S142:V142)</f>
        <v>240000</v>
      </c>
      <c r="Y142" s="52">
        <v>12</v>
      </c>
      <c r="Z142" s="4" t="s">
        <v>103</v>
      </c>
      <c r="AA142" s="6">
        <f>25000*3</f>
        <v>75000</v>
      </c>
      <c r="AB142" s="6">
        <f>AA142</f>
        <v>75000</v>
      </c>
      <c r="AC142" s="6">
        <f t="shared" ref="AC142:AD142" si="116">AB142</f>
        <v>75000</v>
      </c>
      <c r="AD142" s="6">
        <f t="shared" si="116"/>
        <v>75000</v>
      </c>
      <c r="AE142" s="5">
        <f>SUM(AA142:AD142)</f>
        <v>300000</v>
      </c>
    </row>
    <row r="143" spans="1:41" ht="15" customHeight="1" x14ac:dyDescent="0.3">
      <c r="A143" s="25">
        <v>12</v>
      </c>
      <c r="B143" s="4" t="s">
        <v>103</v>
      </c>
      <c r="C143" s="6">
        <f>200000/12</f>
        <v>16666.666666666668</v>
      </c>
      <c r="D143" s="6">
        <f t="shared" ref="D143:N143" si="117">200000/12</f>
        <v>16666.666666666668</v>
      </c>
      <c r="E143" s="6">
        <f t="shared" si="117"/>
        <v>16666.666666666668</v>
      </c>
      <c r="F143" s="6">
        <f t="shared" si="117"/>
        <v>16666.666666666668</v>
      </c>
      <c r="G143" s="6">
        <f t="shared" si="117"/>
        <v>16666.666666666668</v>
      </c>
      <c r="H143" s="6">
        <f t="shared" si="117"/>
        <v>16666.666666666668</v>
      </c>
      <c r="I143" s="6">
        <f t="shared" si="117"/>
        <v>16666.666666666668</v>
      </c>
      <c r="J143" s="6">
        <f t="shared" si="117"/>
        <v>16666.666666666668</v>
      </c>
      <c r="K143" s="6">
        <f t="shared" si="117"/>
        <v>16666.666666666668</v>
      </c>
      <c r="L143" s="6">
        <f t="shared" si="117"/>
        <v>16666.666666666668</v>
      </c>
      <c r="M143" s="6">
        <f t="shared" si="117"/>
        <v>16666.666666666668</v>
      </c>
      <c r="N143" s="6">
        <f t="shared" si="117"/>
        <v>16666.666666666668</v>
      </c>
      <c r="O143" s="5">
        <f>SUM(C143:N143)</f>
        <v>199999.99999999997</v>
      </c>
      <c r="Q143" s="123" t="s">
        <v>22</v>
      </c>
      <c r="R143" s="124"/>
      <c r="S143" s="124"/>
      <c r="T143" s="124"/>
      <c r="U143" s="124"/>
      <c r="V143" s="125"/>
      <c r="W143" s="59"/>
      <c r="Y143" s="123" t="s">
        <v>22</v>
      </c>
      <c r="Z143" s="124"/>
      <c r="AA143" s="124"/>
      <c r="AB143" s="124"/>
      <c r="AC143" s="124"/>
      <c r="AD143" s="125"/>
      <c r="AE143" s="59"/>
    </row>
    <row r="144" spans="1:41" ht="14.4" customHeight="1" x14ac:dyDescent="0.3">
      <c r="A144" s="123" t="s">
        <v>22</v>
      </c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5"/>
      <c r="O144" s="31"/>
      <c r="Q144" s="52">
        <v>13</v>
      </c>
      <c r="R144" s="4" t="s">
        <v>105</v>
      </c>
      <c r="S144" s="6">
        <f>600*12</f>
        <v>7200</v>
      </c>
      <c r="T144" s="6">
        <v>0</v>
      </c>
      <c r="U144" s="6">
        <v>0</v>
      </c>
      <c r="V144" s="6">
        <v>0</v>
      </c>
      <c r="W144" s="5">
        <f>SUM(S144:V144)</f>
        <v>7200</v>
      </c>
      <c r="Y144" s="52">
        <v>13</v>
      </c>
      <c r="Z144" s="4" t="s">
        <v>105</v>
      </c>
      <c r="AA144" s="6">
        <f>700*12</f>
        <v>8400</v>
      </c>
      <c r="AB144" s="6">
        <v>0</v>
      </c>
      <c r="AC144" s="6">
        <v>0</v>
      </c>
      <c r="AD144" s="6">
        <v>0</v>
      </c>
      <c r="AE144" s="5">
        <f>SUM(AA144:AD144)</f>
        <v>8400</v>
      </c>
    </row>
    <row r="145" spans="1:31" x14ac:dyDescent="0.3">
      <c r="A145" s="25">
        <v>13</v>
      </c>
      <c r="B145" s="4" t="s">
        <v>105</v>
      </c>
      <c r="C145" s="6">
        <f>502*12</f>
        <v>6024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5">
        <f>SUM(C145:N145)</f>
        <v>6024</v>
      </c>
      <c r="Q145" s="129" t="s">
        <v>49</v>
      </c>
      <c r="R145" s="130"/>
      <c r="S145" s="5">
        <f>SUM(S129:S133)+SUM(S135:S137)+SUM(S139:S142)+SUM(S144:S144)</f>
        <v>2782030.5555555555</v>
      </c>
      <c r="T145" s="5">
        <f>SUM(T129:T133)+SUM(T135:T137)+SUM(T139:T142)+SUM(T144:T144)</f>
        <v>2774830.5555555555</v>
      </c>
      <c r="U145" s="5">
        <f>SUM(U129:U133)+SUM(U135:U137)+SUM(U139:U142)+SUM(U144:U144)</f>
        <v>2774830.5555555555</v>
      </c>
      <c r="V145" s="5">
        <f>SUM(V129:V133)+SUM(V135:V137)+SUM(V139:V142)+SUM(V144:V144)</f>
        <v>2774830.5555555555</v>
      </c>
      <c r="W145" s="36">
        <f>SUM(S145:V145)</f>
        <v>11106522.222222222</v>
      </c>
      <c r="Y145" s="129" t="s">
        <v>49</v>
      </c>
      <c r="Z145" s="130"/>
      <c r="AA145" s="5">
        <f>SUM(AA129:AA133)+SUM(AA135:AA137)+SUM(AA139:AA142)+SUM(AA144:AA144)</f>
        <v>3846555.5555555555</v>
      </c>
      <c r="AB145" s="5">
        <f>SUM(AB129:AB133)+SUM(AB135:AB137)+SUM(AB139:AB142)+SUM(AB144:AB144)</f>
        <v>3838155.5555555555</v>
      </c>
      <c r="AC145" s="5">
        <f>SUM(AC129:AC133)+SUM(AC135:AC137)+SUM(AC139:AC142)+SUM(AC144:AC144)</f>
        <v>3838155.5555555555</v>
      </c>
      <c r="AD145" s="5">
        <f>SUM(AD129:AD133)+SUM(AD135:AD137)+SUM(AD139:AD142)+SUM(AD144:AD144)</f>
        <v>3838155.5555555555</v>
      </c>
      <c r="AE145" s="36">
        <f>SUM(AA145:AD145)</f>
        <v>15361022.222222222</v>
      </c>
    </row>
    <row r="146" spans="1:31" x14ac:dyDescent="0.3">
      <c r="A146" s="129" t="s">
        <v>23</v>
      </c>
      <c r="B146" s="130"/>
      <c r="C146" s="5">
        <f t="shared" ref="C146:N146" si="118">SUM(C129:C134)+SUM(C136:C138)+SUM(C140:C143)+SUM(C145:C145)</f>
        <v>731157.33333333337</v>
      </c>
      <c r="D146" s="5">
        <f t="shared" si="118"/>
        <v>626522.22222222225</v>
      </c>
      <c r="E146" s="5">
        <f t="shared" si="118"/>
        <v>626522.22222222225</v>
      </c>
      <c r="F146" s="5">
        <f t="shared" si="118"/>
        <v>626522.22222222225</v>
      </c>
      <c r="G146" s="5">
        <f t="shared" si="118"/>
        <v>626522.22222222225</v>
      </c>
      <c r="H146" s="5">
        <f t="shared" si="118"/>
        <v>626522.22222222225</v>
      </c>
      <c r="I146" s="5">
        <f t="shared" si="118"/>
        <v>626522.22222222225</v>
      </c>
      <c r="J146" s="5">
        <f t="shared" si="118"/>
        <v>626522.22222222225</v>
      </c>
      <c r="K146" s="5">
        <f t="shared" si="118"/>
        <v>626522.22222222225</v>
      </c>
      <c r="L146" s="5">
        <f t="shared" si="118"/>
        <v>626522.22222222225</v>
      </c>
      <c r="M146" s="5">
        <f t="shared" si="118"/>
        <v>626522.22222222225</v>
      </c>
      <c r="N146" s="5">
        <f t="shared" si="118"/>
        <v>626522.22222222225</v>
      </c>
      <c r="O146" s="36">
        <f>SUM(C146:N146)</f>
        <v>7622901.7777777761</v>
      </c>
    </row>
    <row r="147" spans="1:31" ht="24" customHeight="1" x14ac:dyDescent="0.3">
      <c r="A147" s="40"/>
      <c r="B147" s="41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</row>
    <row r="148" spans="1:31" ht="14.4" customHeight="1" x14ac:dyDescent="0.3">
      <c r="A148" s="121" t="s">
        <v>151</v>
      </c>
      <c r="B148" s="122"/>
      <c r="C148" s="122"/>
      <c r="D148" s="122"/>
      <c r="E148" s="122"/>
      <c r="F148" s="43"/>
      <c r="G148" s="43"/>
      <c r="H148" s="43"/>
      <c r="I148" s="43"/>
      <c r="J148" s="43"/>
      <c r="K148" s="43"/>
      <c r="L148" s="43"/>
      <c r="M148" s="43"/>
      <c r="N148" s="43"/>
      <c r="Q148" s="119" t="s">
        <v>149</v>
      </c>
      <c r="R148" s="120"/>
      <c r="S148" s="120"/>
      <c r="T148" s="120"/>
      <c r="U148" s="120"/>
      <c r="V148" s="120"/>
      <c r="W148" s="120"/>
      <c r="Y148" s="119" t="s">
        <v>150</v>
      </c>
      <c r="Z148" s="120"/>
      <c r="AA148" s="120"/>
      <c r="AB148" s="120"/>
      <c r="AC148" s="120"/>
      <c r="AD148" s="120"/>
      <c r="AE148" s="120"/>
    </row>
    <row r="149" spans="1:31" ht="31.2" customHeight="1" x14ac:dyDescent="0.3">
      <c r="A149" s="122"/>
      <c r="B149" s="122"/>
      <c r="C149" s="122"/>
      <c r="D149" s="122"/>
      <c r="E149" s="122"/>
      <c r="Q149" s="120"/>
      <c r="R149" s="120"/>
      <c r="S149" s="120"/>
      <c r="T149" s="120"/>
      <c r="U149" s="120"/>
      <c r="V149" s="120"/>
      <c r="W149" s="120"/>
      <c r="Y149" s="120"/>
      <c r="Z149" s="120"/>
      <c r="AA149" s="120"/>
      <c r="AB149" s="120"/>
      <c r="AC149" s="120"/>
      <c r="AD149" s="120"/>
      <c r="AE149" s="120"/>
    </row>
    <row r="150" spans="1:31" ht="24" customHeight="1" x14ac:dyDescent="0.3">
      <c r="Q150" s="120"/>
      <c r="R150" s="120"/>
      <c r="S150" s="120"/>
      <c r="T150" s="120"/>
      <c r="U150" s="120"/>
      <c r="V150" s="120"/>
      <c r="W150" s="120"/>
      <c r="Y150" s="61"/>
      <c r="Z150" s="61"/>
      <c r="AA150" s="62"/>
      <c r="AB150" s="62"/>
      <c r="AC150" s="61"/>
      <c r="AD150" s="61"/>
      <c r="AE150" s="61"/>
    </row>
    <row r="151" spans="1:31" ht="15" customHeight="1" x14ac:dyDescent="0.3">
      <c r="A151" s="115" t="s">
        <v>152</v>
      </c>
      <c r="B151" s="115"/>
      <c r="C151" s="115"/>
      <c r="D151" s="115"/>
      <c r="E151" s="115"/>
      <c r="F151" s="115"/>
      <c r="G151" s="115"/>
      <c r="Q151" s="61"/>
      <c r="R151" s="61"/>
      <c r="S151" s="61"/>
      <c r="T151" s="61"/>
      <c r="U151" s="61"/>
      <c r="V151" s="61"/>
      <c r="W151" s="61"/>
    </row>
    <row r="152" spans="1:31" ht="14.4" customHeight="1" x14ac:dyDescent="0.3">
      <c r="A152" s="115"/>
      <c r="B152" s="115"/>
      <c r="C152" s="115"/>
      <c r="D152" s="115"/>
      <c r="E152" s="115"/>
      <c r="F152" s="115"/>
      <c r="G152" s="115"/>
    </row>
    <row r="153" spans="1:31" ht="15" customHeight="1" x14ac:dyDescent="0.3">
      <c r="A153" s="115"/>
      <c r="B153" s="115"/>
      <c r="C153" s="115"/>
      <c r="D153" s="115"/>
      <c r="E153" s="115"/>
      <c r="F153" s="115"/>
      <c r="G153" s="115"/>
    </row>
    <row r="154" spans="1:31" x14ac:dyDescent="0.3">
      <c r="A154" s="115"/>
      <c r="B154" s="115"/>
      <c r="C154" s="115"/>
      <c r="D154" s="115"/>
      <c r="E154" s="115"/>
      <c r="F154" s="115"/>
      <c r="G154" s="115"/>
    </row>
    <row r="155" spans="1:31" ht="15" customHeight="1" x14ac:dyDescent="0.3">
      <c r="A155" s="115"/>
      <c r="B155" s="115"/>
      <c r="C155" s="115"/>
      <c r="D155" s="115"/>
      <c r="E155" s="115"/>
      <c r="F155" s="115"/>
      <c r="G155" s="115"/>
    </row>
    <row r="156" spans="1:31" x14ac:dyDescent="0.3">
      <c r="A156" s="115"/>
      <c r="B156" s="115"/>
      <c r="C156" s="115"/>
      <c r="D156" s="115"/>
      <c r="E156" s="115"/>
      <c r="F156" s="115"/>
      <c r="G156" s="115"/>
    </row>
    <row r="157" spans="1:31" ht="15" customHeight="1" x14ac:dyDescent="0.3">
      <c r="A157" s="115"/>
      <c r="B157" s="115"/>
      <c r="C157" s="115"/>
      <c r="D157" s="115"/>
      <c r="E157" s="115"/>
      <c r="F157" s="115"/>
      <c r="G157" s="115"/>
    </row>
    <row r="158" spans="1:31" ht="15" customHeight="1" x14ac:dyDescent="0.3">
      <c r="A158" s="115"/>
      <c r="B158" s="115"/>
      <c r="C158" s="115"/>
      <c r="D158" s="115"/>
      <c r="E158" s="115"/>
      <c r="F158" s="115"/>
      <c r="G158" s="115"/>
    </row>
    <row r="159" spans="1:31" x14ac:dyDescent="0.3">
      <c r="A159" s="115"/>
      <c r="B159" s="115"/>
      <c r="C159" s="115"/>
      <c r="D159" s="115"/>
      <c r="E159" s="115"/>
      <c r="F159" s="115"/>
      <c r="G159" s="115"/>
    </row>
    <row r="160" spans="1:31" ht="15" customHeight="1" x14ac:dyDescent="0.3">
      <c r="A160" s="115"/>
      <c r="B160" s="115"/>
      <c r="C160" s="115"/>
      <c r="D160" s="115"/>
      <c r="E160" s="115"/>
      <c r="F160" s="115"/>
      <c r="G160" s="115"/>
    </row>
    <row r="161" spans="1:7" x14ac:dyDescent="0.3">
      <c r="A161" s="115"/>
      <c r="B161" s="115"/>
      <c r="C161" s="115"/>
      <c r="D161" s="115"/>
      <c r="E161" s="115"/>
      <c r="F161" s="115"/>
      <c r="G161" s="115"/>
    </row>
    <row r="162" spans="1:7" ht="14.4" customHeight="1" x14ac:dyDescent="0.3">
      <c r="A162" s="115"/>
      <c r="B162" s="115"/>
      <c r="C162" s="115"/>
      <c r="D162" s="115"/>
      <c r="E162" s="115"/>
      <c r="F162" s="115"/>
      <c r="G162" s="115"/>
    </row>
    <row r="164" spans="1:7" ht="14.4" customHeight="1" x14ac:dyDescent="0.3"/>
    <row r="167" spans="1:7" ht="15" customHeight="1" x14ac:dyDescent="0.3"/>
    <row r="168" spans="1:7" ht="14.4" customHeight="1" x14ac:dyDescent="0.3"/>
    <row r="169" spans="1:7" ht="14.4" customHeight="1" x14ac:dyDescent="0.3"/>
    <row r="172" spans="1:7" ht="15" customHeight="1" x14ac:dyDescent="0.3"/>
    <row r="173" spans="1:7" ht="14.4" customHeight="1" x14ac:dyDescent="0.3"/>
    <row r="175" spans="1:7" ht="14.4" customHeight="1" x14ac:dyDescent="0.3"/>
    <row r="176" spans="1:7" ht="14.4" customHeight="1" x14ac:dyDescent="0.3"/>
    <row r="185" ht="14.4" customHeight="1" x14ac:dyDescent="0.3"/>
    <row r="188" ht="15" customHeight="1" x14ac:dyDescent="0.3"/>
    <row r="189" ht="14.4" customHeight="1" x14ac:dyDescent="0.3"/>
    <row r="191" ht="14.4" customHeight="1" x14ac:dyDescent="0.3"/>
    <row r="192" ht="14.4" customHeight="1" x14ac:dyDescent="0.3"/>
    <row r="194" ht="14.4" customHeight="1" x14ac:dyDescent="0.3"/>
    <row r="199" ht="19.2" customHeight="1" x14ac:dyDescent="0.3"/>
    <row r="201" ht="14.4" customHeight="1" x14ac:dyDescent="0.3"/>
    <row r="202" ht="14.4" customHeight="1" x14ac:dyDescent="0.3"/>
    <row r="204" ht="15" customHeight="1" x14ac:dyDescent="0.3"/>
    <row r="206" ht="14.4" customHeight="1" x14ac:dyDescent="0.3"/>
    <row r="208" ht="14.4" customHeight="1" x14ac:dyDescent="0.3"/>
    <row r="214" ht="14.4" customHeight="1" x14ac:dyDescent="0.3"/>
    <row r="218" ht="14.4" customHeight="1" x14ac:dyDescent="0.3"/>
    <row r="220" ht="14.4" customHeight="1" x14ac:dyDescent="0.3"/>
    <row r="222" ht="14.4" customHeight="1" x14ac:dyDescent="0.3"/>
    <row r="224" ht="14.4" customHeight="1" x14ac:dyDescent="0.3"/>
    <row r="230" ht="14.4" customHeight="1" x14ac:dyDescent="0.3"/>
    <row r="234" ht="14.4" customHeight="1" x14ac:dyDescent="0.3"/>
  </sheetData>
  <mergeCells count="83">
    <mergeCell ref="A122:N122"/>
    <mergeCell ref="A124:B124"/>
    <mergeCell ref="A100:N100"/>
    <mergeCell ref="A95:N95"/>
    <mergeCell ref="Y90:AD90"/>
    <mergeCell ref="Q90:V90"/>
    <mergeCell ref="Y99:AD99"/>
    <mergeCell ref="Q99:V99"/>
    <mergeCell ref="Q106:V106"/>
    <mergeCell ref="Q112:V112"/>
    <mergeCell ref="Q116:V116"/>
    <mergeCell ref="Q121:V121"/>
    <mergeCell ref="Q123:R123"/>
    <mergeCell ref="AG101:AH101"/>
    <mergeCell ref="A117:N117"/>
    <mergeCell ref="A84:O84"/>
    <mergeCell ref="A106:O106"/>
    <mergeCell ref="A113:N113"/>
    <mergeCell ref="AG84:AI84"/>
    <mergeCell ref="AG92:AI92"/>
    <mergeCell ref="AG96:AI96"/>
    <mergeCell ref="A102:B102"/>
    <mergeCell ref="Y84:AD84"/>
    <mergeCell ref="Q84:V84"/>
    <mergeCell ref="Q101:R101"/>
    <mergeCell ref="Y101:Z101"/>
    <mergeCell ref="A91:N91"/>
    <mergeCell ref="Y94:AD94"/>
    <mergeCell ref="Q94:V94"/>
    <mergeCell ref="A5:B5"/>
    <mergeCell ref="A37:B37"/>
    <mergeCell ref="A11:B11"/>
    <mergeCell ref="A17:B17"/>
    <mergeCell ref="A73:B73"/>
    <mergeCell ref="A23:O23"/>
    <mergeCell ref="A41:O41"/>
    <mergeCell ref="A28:O28"/>
    <mergeCell ref="A46:O46"/>
    <mergeCell ref="A53:O53"/>
    <mergeCell ref="A35:O35"/>
    <mergeCell ref="A55:B55"/>
    <mergeCell ref="A59:O59"/>
    <mergeCell ref="A71:O71"/>
    <mergeCell ref="A64:O64"/>
    <mergeCell ref="AG107:AI107"/>
    <mergeCell ref="AG127:AI127"/>
    <mergeCell ref="AG105:AI105"/>
    <mergeCell ref="AG112:AI112"/>
    <mergeCell ref="AG116:AI116"/>
    <mergeCell ref="AG121:AH121"/>
    <mergeCell ref="AG125:AI125"/>
    <mergeCell ref="A151:G162"/>
    <mergeCell ref="Y128:AD128"/>
    <mergeCell ref="Y134:AD134"/>
    <mergeCell ref="Y138:AD138"/>
    <mergeCell ref="Y143:AD143"/>
    <mergeCell ref="Y145:Z145"/>
    <mergeCell ref="Q128:V128"/>
    <mergeCell ref="Q134:V134"/>
    <mergeCell ref="Q138:V138"/>
    <mergeCell ref="Q143:V143"/>
    <mergeCell ref="Q145:R145"/>
    <mergeCell ref="A144:N144"/>
    <mergeCell ref="A146:B146"/>
    <mergeCell ref="A128:O128"/>
    <mergeCell ref="A135:N135"/>
    <mergeCell ref="A139:N139"/>
    <mergeCell ref="AK103:AO118"/>
    <mergeCell ref="AK123:AO136"/>
    <mergeCell ref="A75:K78"/>
    <mergeCell ref="AK81:AO96"/>
    <mergeCell ref="Q148:W150"/>
    <mergeCell ref="A148:E149"/>
    <mergeCell ref="Y148:AE149"/>
    <mergeCell ref="Y106:AD106"/>
    <mergeCell ref="Y112:AD112"/>
    <mergeCell ref="Y116:AD116"/>
    <mergeCell ref="Y121:AD121"/>
    <mergeCell ref="Y123:Z123"/>
    <mergeCell ref="AG132:AI132"/>
    <mergeCell ref="AG136:AI136"/>
    <mergeCell ref="AG141:AH141"/>
    <mergeCell ref="AG86:AI86"/>
  </mergeCells>
  <phoneticPr fontId="5" type="noConversion"/>
  <pageMargins left="0.7" right="0.7" top="0.75" bottom="0.75" header="0.3" footer="0.3"/>
  <pageSetup paperSize="9" orientation="portrait" r:id="rId1"/>
  <ignoredErrors>
    <ignoredError sqref="T119:V1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AD4CC-3739-4AEB-99F0-B41957441B4E}">
  <sheetPr>
    <pageSetUpPr autoPageBreaks="0"/>
  </sheetPr>
  <dimension ref="A1:AC69"/>
  <sheetViews>
    <sheetView topLeftCell="A19" zoomScale="40" zoomScaleNormal="40" workbookViewId="0">
      <selection activeCell="H62" sqref="H62"/>
    </sheetView>
  </sheetViews>
  <sheetFormatPr defaultRowHeight="14.4" x14ac:dyDescent="0.3"/>
  <cols>
    <col min="1" max="1" width="15.77734375" customWidth="1"/>
    <col min="2" max="8" width="14" customWidth="1"/>
    <col min="9" max="9" width="14.5546875" customWidth="1"/>
    <col min="10" max="14" width="14" customWidth="1"/>
    <col min="16" max="16" width="28.44140625" customWidth="1"/>
    <col min="17" max="20" width="13.33203125" customWidth="1"/>
    <col min="21" max="21" width="13.5546875" bestFit="1" customWidth="1"/>
    <col min="22" max="28" width="13.33203125" customWidth="1"/>
    <col min="29" max="29" width="14" bestFit="1" customWidth="1"/>
  </cols>
  <sheetData>
    <row r="1" spans="1:16" x14ac:dyDescent="0.3">
      <c r="A1" s="12" t="s">
        <v>183</v>
      </c>
    </row>
    <row r="2" spans="1:16" x14ac:dyDescent="0.3">
      <c r="C2" s="12"/>
    </row>
    <row r="3" spans="1:16" x14ac:dyDescent="0.3">
      <c r="A3" s="68" t="s">
        <v>25</v>
      </c>
      <c r="B3" s="68" t="s">
        <v>155</v>
      </c>
      <c r="C3" s="68" t="s">
        <v>26</v>
      </c>
      <c r="D3" s="68" t="s">
        <v>27</v>
      </c>
      <c r="E3" s="68" t="s">
        <v>28</v>
      </c>
      <c r="H3" s="69" t="s">
        <v>157</v>
      </c>
    </row>
    <row r="4" spans="1:16" x14ac:dyDescent="0.3">
      <c r="A4" s="2">
        <v>1</v>
      </c>
      <c r="B4" s="85">
        <v>0</v>
      </c>
      <c r="C4" s="108"/>
      <c r="D4" s="108"/>
      <c r="E4" s="108"/>
      <c r="K4" s="67"/>
    </row>
    <row r="5" spans="1:16" x14ac:dyDescent="0.3">
      <c r="A5" s="2">
        <v>2</v>
      </c>
      <c r="B5" s="85">
        <v>3000000</v>
      </c>
      <c r="C5" s="108"/>
      <c r="D5" s="108"/>
      <c r="E5" s="108"/>
      <c r="H5" s="69" t="s">
        <v>158</v>
      </c>
    </row>
    <row r="6" spans="1:16" x14ac:dyDescent="0.3">
      <c r="A6" s="58">
        <v>3</v>
      </c>
      <c r="B6" s="85">
        <v>0</v>
      </c>
      <c r="C6" s="85">
        <f>AVERAGE(B4:B5)</f>
        <v>1500000</v>
      </c>
      <c r="D6" s="108"/>
      <c r="E6" s="108"/>
    </row>
    <row r="7" spans="1:16" x14ac:dyDescent="0.3">
      <c r="A7" s="58">
        <v>4</v>
      </c>
      <c r="B7" s="85">
        <v>0</v>
      </c>
      <c r="C7" s="85">
        <f>AVERAGE(B5:B6)</f>
        <v>1500000</v>
      </c>
      <c r="D7" s="85">
        <f>AVERAGE(B4:B6)</f>
        <v>1000000</v>
      </c>
      <c r="E7" s="108"/>
      <c r="H7" s="70" t="s">
        <v>156</v>
      </c>
    </row>
    <row r="8" spans="1:16" x14ac:dyDescent="0.3">
      <c r="A8" s="58">
        <v>5</v>
      </c>
      <c r="B8" s="85">
        <v>1000000</v>
      </c>
      <c r="C8" s="85">
        <f t="shared" ref="C8:C14" si="0">AVERAGE(B6:B7)</f>
        <v>0</v>
      </c>
      <c r="D8" s="85">
        <f t="shared" ref="D8:D15" si="1">AVERAGE(B5:B7)</f>
        <v>1000000</v>
      </c>
      <c r="E8" s="85">
        <f>AVERAGE(B4:B7)</f>
        <v>750000</v>
      </c>
    </row>
    <row r="9" spans="1:16" x14ac:dyDescent="0.3">
      <c r="A9" s="58">
        <v>6</v>
      </c>
      <c r="B9" s="85">
        <v>0</v>
      </c>
      <c r="C9" s="85">
        <f t="shared" si="0"/>
        <v>500000</v>
      </c>
      <c r="D9" s="85">
        <f t="shared" si="1"/>
        <v>333333.33333333331</v>
      </c>
      <c r="E9" s="85">
        <f t="shared" ref="E9:E15" si="2">AVERAGE(B5:B8)</f>
        <v>1000000</v>
      </c>
      <c r="H9" s="69" t="s">
        <v>170</v>
      </c>
    </row>
    <row r="10" spans="1:16" x14ac:dyDescent="0.3">
      <c r="A10" s="58">
        <v>7</v>
      </c>
      <c r="B10" s="85">
        <v>3000000</v>
      </c>
      <c r="C10" s="85">
        <f t="shared" si="0"/>
        <v>500000</v>
      </c>
      <c r="D10" s="85">
        <f t="shared" si="1"/>
        <v>333333.33333333331</v>
      </c>
      <c r="E10" s="85">
        <f t="shared" si="2"/>
        <v>250000</v>
      </c>
    </row>
    <row r="11" spans="1:16" x14ac:dyDescent="0.3">
      <c r="A11" s="58">
        <v>8</v>
      </c>
      <c r="B11" s="85">
        <v>0</v>
      </c>
      <c r="C11" s="85">
        <f t="shared" si="0"/>
        <v>1500000</v>
      </c>
      <c r="D11" s="85">
        <f t="shared" si="1"/>
        <v>1333333.3333333333</v>
      </c>
      <c r="E11" s="85">
        <f t="shared" si="2"/>
        <v>1000000</v>
      </c>
      <c r="H11" t="s">
        <v>160</v>
      </c>
      <c r="J11">
        <f>(1000000+3000000+3500000+8000000)/4</f>
        <v>3875000</v>
      </c>
    </row>
    <row r="12" spans="1:16" x14ac:dyDescent="0.3">
      <c r="A12" s="58">
        <v>9</v>
      </c>
      <c r="B12" s="85">
        <v>0</v>
      </c>
      <c r="C12" s="85">
        <f t="shared" si="0"/>
        <v>1500000</v>
      </c>
      <c r="D12" s="85">
        <f t="shared" si="1"/>
        <v>1000000</v>
      </c>
      <c r="E12" s="85">
        <f t="shared" si="2"/>
        <v>1000000</v>
      </c>
    </row>
    <row r="13" spans="1:16" x14ac:dyDescent="0.3">
      <c r="A13" s="58">
        <v>10</v>
      </c>
      <c r="B13" s="85">
        <v>1000000</v>
      </c>
      <c r="C13" s="85">
        <f t="shared" si="0"/>
        <v>0</v>
      </c>
      <c r="D13" s="85">
        <f t="shared" si="1"/>
        <v>1000000</v>
      </c>
      <c r="E13" s="85">
        <f t="shared" si="2"/>
        <v>750000</v>
      </c>
      <c r="H13" s="138" t="s">
        <v>171</v>
      </c>
      <c r="I13" s="138"/>
      <c r="J13" s="138"/>
      <c r="K13" s="138"/>
      <c r="L13" s="138"/>
      <c r="M13" s="138"/>
      <c r="N13" s="138"/>
      <c r="O13" s="138"/>
      <c r="P13" s="138"/>
    </row>
    <row r="14" spans="1:16" x14ac:dyDescent="0.3">
      <c r="A14" s="58">
        <v>11</v>
      </c>
      <c r="B14" s="85">
        <v>0</v>
      </c>
      <c r="C14" s="85">
        <f t="shared" si="0"/>
        <v>500000</v>
      </c>
      <c r="D14" s="85">
        <f>AVERAGE(B11:B13)</f>
        <v>333333.33333333331</v>
      </c>
      <c r="E14" s="85">
        <f t="shared" si="2"/>
        <v>1000000</v>
      </c>
      <c r="H14" s="138"/>
      <c r="I14" s="138"/>
      <c r="J14" s="138"/>
      <c r="K14" s="138"/>
      <c r="L14" s="138"/>
      <c r="M14" s="138"/>
      <c r="N14" s="138"/>
      <c r="O14" s="138"/>
      <c r="P14" s="138"/>
    </row>
    <row r="15" spans="1:16" x14ac:dyDescent="0.3">
      <c r="A15" s="58">
        <v>12</v>
      </c>
      <c r="B15" s="85">
        <v>0</v>
      </c>
      <c r="C15" s="85">
        <f>AVERAGE(B13:B14)</f>
        <v>500000</v>
      </c>
      <c r="D15" s="85">
        <f t="shared" si="1"/>
        <v>333333.33333333331</v>
      </c>
      <c r="E15" s="85">
        <f t="shared" si="2"/>
        <v>250000</v>
      </c>
      <c r="H15" s="138"/>
      <c r="I15" s="138"/>
      <c r="J15" s="138"/>
      <c r="K15" s="138"/>
      <c r="L15" s="138"/>
      <c r="M15" s="138"/>
      <c r="N15" s="138"/>
      <c r="O15" s="138"/>
      <c r="P15" s="138"/>
    </row>
    <row r="17" spans="1:29" x14ac:dyDescent="0.3">
      <c r="A17" s="141" t="s">
        <v>35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P17" s="141" t="s">
        <v>35</v>
      </c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</row>
    <row r="18" spans="1:29" x14ac:dyDescent="0.3">
      <c r="A18" t="s">
        <v>164</v>
      </c>
      <c r="P18" t="s">
        <v>168</v>
      </c>
    </row>
    <row r="19" spans="1:29" x14ac:dyDescent="0.3">
      <c r="A19" s="74" t="s">
        <v>29</v>
      </c>
      <c r="B19" s="74" t="s">
        <v>88</v>
      </c>
      <c r="C19" s="74" t="s">
        <v>89</v>
      </c>
      <c r="D19" s="74" t="s">
        <v>90</v>
      </c>
      <c r="E19" s="74" t="s">
        <v>91</v>
      </c>
      <c r="F19" s="74" t="s">
        <v>92</v>
      </c>
      <c r="G19" s="74" t="s">
        <v>93</v>
      </c>
      <c r="H19" s="74" t="s">
        <v>94</v>
      </c>
      <c r="I19" s="74" t="s">
        <v>95</v>
      </c>
      <c r="J19" s="74" t="s">
        <v>96</v>
      </c>
      <c r="K19" s="74" t="s">
        <v>97</v>
      </c>
      <c r="L19" s="74" t="s">
        <v>98</v>
      </c>
      <c r="M19" s="74" t="s">
        <v>99</v>
      </c>
      <c r="N19" s="74" t="s">
        <v>30</v>
      </c>
      <c r="P19" s="74" t="s">
        <v>37</v>
      </c>
      <c r="Q19" s="74" t="s">
        <v>88</v>
      </c>
      <c r="R19" s="74" t="s">
        <v>89</v>
      </c>
      <c r="S19" s="74" t="s">
        <v>90</v>
      </c>
      <c r="T19" s="74" t="s">
        <v>91</v>
      </c>
      <c r="U19" s="74" t="s">
        <v>92</v>
      </c>
      <c r="V19" s="74" t="s">
        <v>93</v>
      </c>
      <c r="W19" s="74" t="s">
        <v>94</v>
      </c>
      <c r="X19" s="74" t="s">
        <v>95</v>
      </c>
      <c r="Y19" s="74" t="s">
        <v>96</v>
      </c>
      <c r="Z19" s="74" t="s">
        <v>97</v>
      </c>
      <c r="AA19" s="74" t="s">
        <v>98</v>
      </c>
      <c r="AB19" s="74" t="s">
        <v>99</v>
      </c>
      <c r="AC19" s="74" t="s">
        <v>30</v>
      </c>
    </row>
    <row r="20" spans="1:29" ht="28.8" x14ac:dyDescent="0.3">
      <c r="A20" s="83" t="s">
        <v>159</v>
      </c>
      <c r="B20" s="71">
        <v>0</v>
      </c>
      <c r="C20" s="71">
        <v>0</v>
      </c>
      <c r="D20" s="71">
        <v>0</v>
      </c>
      <c r="E20" s="71">
        <v>0</v>
      </c>
      <c r="F20" s="71">
        <v>1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1</v>
      </c>
      <c r="M20" s="71">
        <v>0</v>
      </c>
      <c r="N20" s="77">
        <f>SUM(B20:M20)</f>
        <v>2</v>
      </c>
      <c r="P20" s="83" t="s">
        <v>38</v>
      </c>
      <c r="Q20" s="78">
        <v>0</v>
      </c>
      <c r="R20" s="78">
        <v>1</v>
      </c>
      <c r="S20" s="78">
        <v>0</v>
      </c>
      <c r="T20" s="78">
        <v>0</v>
      </c>
      <c r="U20" s="78">
        <v>2</v>
      </c>
      <c r="V20" s="78">
        <v>0</v>
      </c>
      <c r="W20" s="78">
        <v>1</v>
      </c>
      <c r="X20" s="78">
        <v>0</v>
      </c>
      <c r="Y20" s="78">
        <v>0</v>
      </c>
      <c r="Z20" s="78">
        <v>1</v>
      </c>
      <c r="AA20" s="78">
        <v>1</v>
      </c>
      <c r="AB20" s="78">
        <v>0</v>
      </c>
      <c r="AC20" s="90">
        <f>SUM(Q20:AB20)</f>
        <v>6</v>
      </c>
    </row>
    <row r="21" spans="1:29" x14ac:dyDescent="0.3">
      <c r="A21" s="83" t="s">
        <v>161</v>
      </c>
      <c r="B21" s="71">
        <v>0</v>
      </c>
      <c r="C21" s="71">
        <v>1</v>
      </c>
      <c r="D21" s="71">
        <v>0</v>
      </c>
      <c r="E21" s="71">
        <v>0</v>
      </c>
      <c r="F21" s="71">
        <v>1</v>
      </c>
      <c r="G21" s="71">
        <v>0</v>
      </c>
      <c r="H21" s="71">
        <v>1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7">
        <f>SUM(B21:M21)</f>
        <v>3</v>
      </c>
      <c r="P21" s="83" t="s">
        <v>169</v>
      </c>
      <c r="Q21" s="85">
        <v>0</v>
      </c>
      <c r="R21" s="85">
        <v>3000000</v>
      </c>
      <c r="S21" s="85">
        <v>0</v>
      </c>
      <c r="T21" s="85">
        <v>0</v>
      </c>
      <c r="U21" s="85">
        <f>(1000000+3000000)/2</f>
        <v>2000000</v>
      </c>
      <c r="V21" s="85">
        <v>0</v>
      </c>
      <c r="W21" s="85">
        <v>3000000</v>
      </c>
      <c r="X21" s="85">
        <v>0</v>
      </c>
      <c r="Y21" s="85">
        <v>0</v>
      </c>
      <c r="Z21" s="85">
        <v>3500000</v>
      </c>
      <c r="AA21" s="85">
        <v>1000000</v>
      </c>
      <c r="AB21" s="85">
        <v>0</v>
      </c>
      <c r="AC21" s="91">
        <f>SUM(Q21:AB21)</f>
        <v>12500000</v>
      </c>
    </row>
    <row r="22" spans="1:29" ht="28.8" x14ac:dyDescent="0.3">
      <c r="A22" s="83" t="s">
        <v>162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1</v>
      </c>
      <c r="L22" s="71">
        <v>0</v>
      </c>
      <c r="M22" s="71">
        <v>0</v>
      </c>
      <c r="N22" s="77">
        <f>SUM(B22:M22)</f>
        <v>1</v>
      </c>
      <c r="P22" s="83" t="s">
        <v>40</v>
      </c>
      <c r="Q22" s="85">
        <f>Q20*Q21/1000</f>
        <v>0</v>
      </c>
      <c r="R22" s="85">
        <f t="shared" ref="R22:AB22" si="3">R20*R21/1000</f>
        <v>3000</v>
      </c>
      <c r="S22" s="85">
        <f t="shared" si="3"/>
        <v>0</v>
      </c>
      <c r="T22" s="85">
        <f t="shared" si="3"/>
        <v>0</v>
      </c>
      <c r="U22" s="85">
        <f t="shared" si="3"/>
        <v>4000</v>
      </c>
      <c r="V22" s="85">
        <f t="shared" si="3"/>
        <v>0</v>
      </c>
      <c r="W22" s="85">
        <f t="shared" si="3"/>
        <v>3000</v>
      </c>
      <c r="X22" s="85">
        <f t="shared" si="3"/>
        <v>0</v>
      </c>
      <c r="Y22" s="85">
        <f t="shared" si="3"/>
        <v>0</v>
      </c>
      <c r="Z22" s="85">
        <f t="shared" si="3"/>
        <v>3500</v>
      </c>
      <c r="AA22" s="85">
        <f t="shared" si="3"/>
        <v>1000</v>
      </c>
      <c r="AB22" s="85">
        <f t="shared" si="3"/>
        <v>0</v>
      </c>
      <c r="AC22" s="89">
        <f>SUM(Q22:AB22)</f>
        <v>14500</v>
      </c>
    </row>
    <row r="23" spans="1:29" ht="28.8" x14ac:dyDescent="0.3">
      <c r="A23" s="83" t="s">
        <v>163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7">
        <f>SUM(B23:M23)</f>
        <v>0</v>
      </c>
    </row>
    <row r="24" spans="1:29" x14ac:dyDescent="0.3">
      <c r="A24" s="83" t="s">
        <v>167</v>
      </c>
      <c r="B24" s="76">
        <f>SUM(B20:B23)</f>
        <v>0</v>
      </c>
      <c r="C24" s="76">
        <f t="shared" ref="C24:N24" si="4">SUM(C20:C23)</f>
        <v>1</v>
      </c>
      <c r="D24" s="76">
        <f t="shared" si="4"/>
        <v>0</v>
      </c>
      <c r="E24" s="76">
        <f t="shared" si="4"/>
        <v>0</v>
      </c>
      <c r="F24" s="76">
        <f t="shared" si="4"/>
        <v>2</v>
      </c>
      <c r="G24" s="76">
        <f t="shared" si="4"/>
        <v>0</v>
      </c>
      <c r="H24" s="76">
        <f t="shared" si="4"/>
        <v>1</v>
      </c>
      <c r="I24" s="76">
        <f t="shared" si="4"/>
        <v>0</v>
      </c>
      <c r="J24" s="76">
        <f t="shared" si="4"/>
        <v>0</v>
      </c>
      <c r="K24" s="76">
        <f t="shared" si="4"/>
        <v>1</v>
      </c>
      <c r="L24" s="76">
        <f t="shared" si="4"/>
        <v>1</v>
      </c>
      <c r="M24" s="76">
        <f t="shared" si="4"/>
        <v>0</v>
      </c>
      <c r="N24" s="73">
        <f t="shared" si="4"/>
        <v>6</v>
      </c>
      <c r="P24" t="s">
        <v>165</v>
      </c>
    </row>
    <row r="25" spans="1:29" x14ac:dyDescent="0.3">
      <c r="A25" s="56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P25" s="74" t="s">
        <v>37</v>
      </c>
      <c r="Q25" s="74" t="s">
        <v>31</v>
      </c>
      <c r="R25" s="74" t="s">
        <v>32</v>
      </c>
      <c r="S25" s="74" t="s">
        <v>33</v>
      </c>
      <c r="T25" s="74" t="s">
        <v>34</v>
      </c>
      <c r="U25" s="74" t="s">
        <v>30</v>
      </c>
    </row>
    <row r="26" spans="1:29" ht="28.8" x14ac:dyDescent="0.3">
      <c r="A26" t="s">
        <v>165</v>
      </c>
      <c r="I26" t="s">
        <v>166</v>
      </c>
      <c r="P26" s="83" t="s">
        <v>38</v>
      </c>
      <c r="Q26" s="78">
        <v>1</v>
      </c>
      <c r="R26" s="78">
        <v>1</v>
      </c>
      <c r="S26" s="78">
        <v>2</v>
      </c>
      <c r="T26" s="78">
        <v>3</v>
      </c>
      <c r="U26" s="90">
        <f>SUM(Q26:T26)</f>
        <v>7</v>
      </c>
    </row>
    <row r="27" spans="1:29" x14ac:dyDescent="0.3">
      <c r="A27" s="75" t="s">
        <v>29</v>
      </c>
      <c r="B27" s="75" t="s">
        <v>31</v>
      </c>
      <c r="C27" s="75" t="s">
        <v>32</v>
      </c>
      <c r="D27" s="75" t="s">
        <v>33</v>
      </c>
      <c r="E27" s="75" t="s">
        <v>34</v>
      </c>
      <c r="F27" s="75" t="s">
        <v>30</v>
      </c>
      <c r="I27" s="75" t="s">
        <v>29</v>
      </c>
      <c r="J27" s="75" t="s">
        <v>31</v>
      </c>
      <c r="K27" s="75" t="s">
        <v>32</v>
      </c>
      <c r="L27" s="75" t="s">
        <v>33</v>
      </c>
      <c r="M27" s="75" t="s">
        <v>34</v>
      </c>
      <c r="N27" s="75" t="s">
        <v>30</v>
      </c>
      <c r="P27" s="83" t="s">
        <v>39</v>
      </c>
      <c r="Q27" s="85">
        <v>3000000</v>
      </c>
      <c r="R27" s="85">
        <v>1000000</v>
      </c>
      <c r="S27" s="85">
        <f>(3000000+1000000)/2</f>
        <v>2000000</v>
      </c>
      <c r="T27" s="85">
        <f>(1000000+3000000+3500000)/3</f>
        <v>2500000</v>
      </c>
      <c r="U27" s="91">
        <f t="shared" ref="U27:U28" si="5">SUM(Q27:T27)</f>
        <v>8500000</v>
      </c>
    </row>
    <row r="28" spans="1:29" ht="28.8" x14ac:dyDescent="0.3">
      <c r="A28" s="83" t="s">
        <v>159</v>
      </c>
      <c r="B28" s="78">
        <v>0</v>
      </c>
      <c r="C28" s="78">
        <v>1</v>
      </c>
      <c r="D28" s="78">
        <v>1</v>
      </c>
      <c r="E28" s="78">
        <v>1</v>
      </c>
      <c r="F28" s="79">
        <f>SUM(B28:E28)</f>
        <v>3</v>
      </c>
      <c r="I28" s="74" t="s">
        <v>159</v>
      </c>
      <c r="J28" s="78">
        <v>1</v>
      </c>
      <c r="K28" s="78">
        <v>1</v>
      </c>
      <c r="L28" s="78">
        <v>1</v>
      </c>
      <c r="M28" s="78">
        <v>1</v>
      </c>
      <c r="N28" s="79">
        <f>SUM(J28:M28)</f>
        <v>4</v>
      </c>
      <c r="P28" s="83" t="s">
        <v>40</v>
      </c>
      <c r="Q28" s="85">
        <f>Q26*Q27/1000</f>
        <v>3000</v>
      </c>
      <c r="R28" s="85">
        <f t="shared" ref="R28:T28" si="6">R26*R27/1000</f>
        <v>1000</v>
      </c>
      <c r="S28" s="85">
        <f t="shared" si="6"/>
        <v>4000</v>
      </c>
      <c r="T28" s="85">
        <f t="shared" si="6"/>
        <v>7500</v>
      </c>
      <c r="U28" s="89">
        <f t="shared" si="5"/>
        <v>15500</v>
      </c>
    </row>
    <row r="29" spans="1:29" ht="28.8" x14ac:dyDescent="0.3">
      <c r="A29" s="83" t="s">
        <v>161</v>
      </c>
      <c r="B29" s="78">
        <v>1</v>
      </c>
      <c r="C29" s="78">
        <v>0</v>
      </c>
      <c r="D29" s="78">
        <v>1</v>
      </c>
      <c r="E29" s="78">
        <v>1</v>
      </c>
      <c r="F29" s="79">
        <f>SUM(B29:E29)</f>
        <v>3</v>
      </c>
      <c r="I29" s="74" t="s">
        <v>161</v>
      </c>
      <c r="J29" s="78">
        <v>1</v>
      </c>
      <c r="K29" s="78">
        <v>0</v>
      </c>
      <c r="L29" s="78">
        <v>1</v>
      </c>
      <c r="M29" s="78">
        <v>1</v>
      </c>
      <c r="N29" s="79">
        <f>SUM(J29:M29)</f>
        <v>3</v>
      </c>
      <c r="P29" t="s">
        <v>166</v>
      </c>
    </row>
    <row r="30" spans="1:29" ht="28.8" x14ac:dyDescent="0.3">
      <c r="A30" s="83" t="s">
        <v>162</v>
      </c>
      <c r="B30" s="78">
        <v>0</v>
      </c>
      <c r="C30" s="78">
        <v>0</v>
      </c>
      <c r="D30" s="78">
        <v>0</v>
      </c>
      <c r="E30" s="78">
        <v>1</v>
      </c>
      <c r="F30" s="79">
        <f>SUM(B30:E30)</f>
        <v>1</v>
      </c>
      <c r="I30" s="74" t="s">
        <v>162</v>
      </c>
      <c r="J30" s="78">
        <v>0</v>
      </c>
      <c r="K30" s="78">
        <v>1</v>
      </c>
      <c r="L30" s="78">
        <v>1</v>
      </c>
      <c r="M30" s="78">
        <v>1</v>
      </c>
      <c r="N30" s="79">
        <f>SUM(J30:M30)</f>
        <v>3</v>
      </c>
      <c r="P30" s="74" t="s">
        <v>37</v>
      </c>
      <c r="Q30" s="74" t="s">
        <v>31</v>
      </c>
      <c r="R30" s="74" t="s">
        <v>32</v>
      </c>
      <c r="S30" s="74" t="s">
        <v>33</v>
      </c>
      <c r="T30" s="74" t="s">
        <v>34</v>
      </c>
      <c r="U30" s="74" t="s">
        <v>30</v>
      </c>
    </row>
    <row r="31" spans="1:29" ht="28.8" x14ac:dyDescent="0.3">
      <c r="A31" s="84" t="s">
        <v>163</v>
      </c>
      <c r="B31" s="80">
        <v>0</v>
      </c>
      <c r="C31" s="80">
        <v>0</v>
      </c>
      <c r="D31" s="80">
        <v>0</v>
      </c>
      <c r="E31" s="80">
        <v>0</v>
      </c>
      <c r="F31" s="81">
        <f>SUM(B31:E31)</f>
        <v>0</v>
      </c>
      <c r="I31" s="74" t="s">
        <v>163</v>
      </c>
      <c r="J31" s="78">
        <v>0</v>
      </c>
      <c r="K31" s="78">
        <v>0</v>
      </c>
      <c r="L31" s="78">
        <v>0</v>
      </c>
      <c r="M31" s="78">
        <v>1</v>
      </c>
      <c r="N31" s="79">
        <f>SUM(J31:M31)</f>
        <v>1</v>
      </c>
      <c r="P31" s="83" t="s">
        <v>38</v>
      </c>
      <c r="Q31" s="78">
        <v>2</v>
      </c>
      <c r="R31" s="78">
        <v>2</v>
      </c>
      <c r="S31" s="78">
        <v>3</v>
      </c>
      <c r="T31" s="78">
        <v>4</v>
      </c>
      <c r="U31" s="90">
        <f>SUM(Q31:T31)</f>
        <v>11</v>
      </c>
    </row>
    <row r="32" spans="1:29" x14ac:dyDescent="0.3">
      <c r="A32" s="83" t="s">
        <v>167</v>
      </c>
      <c r="B32" s="76">
        <f>SUM(B28:B31)</f>
        <v>1</v>
      </c>
      <c r="C32" s="76">
        <f t="shared" ref="C32:F32" si="7">SUM(C28:C31)</f>
        <v>1</v>
      </c>
      <c r="D32" s="76">
        <f t="shared" si="7"/>
        <v>2</v>
      </c>
      <c r="E32" s="76">
        <f t="shared" si="7"/>
        <v>3</v>
      </c>
      <c r="F32" s="73">
        <f t="shared" si="7"/>
        <v>7</v>
      </c>
      <c r="I32" s="74" t="s">
        <v>167</v>
      </c>
      <c r="J32" s="76">
        <f>SUM(J28:J31)</f>
        <v>2</v>
      </c>
      <c r="K32" s="76">
        <f t="shared" ref="K32" si="8">SUM(K28:K31)</f>
        <v>2</v>
      </c>
      <c r="L32" s="76">
        <f t="shared" ref="L32" si="9">SUM(L28:L31)</f>
        <v>3</v>
      </c>
      <c r="M32" s="76">
        <f t="shared" ref="M32" si="10">SUM(M28:M31)</f>
        <v>4</v>
      </c>
      <c r="N32" s="73">
        <f t="shared" ref="N32" si="11">SUM(N28:N31)</f>
        <v>11</v>
      </c>
      <c r="P32" s="83" t="s">
        <v>39</v>
      </c>
      <c r="Q32" s="85">
        <f>(1000000+3000000)/2</f>
        <v>2000000</v>
      </c>
      <c r="R32" s="85">
        <f>(1000000+3500000)/2</f>
        <v>2250000</v>
      </c>
      <c r="S32" s="85">
        <f>(1000000+3500000+3000000)/3</f>
        <v>2500000</v>
      </c>
      <c r="T32" s="85">
        <f>(1000000+3000000+3500000+8000000)/4</f>
        <v>3875000</v>
      </c>
      <c r="U32" s="91">
        <f>SUM(Q32:T32)</f>
        <v>10625000</v>
      </c>
    </row>
    <row r="33" spans="1:29" ht="28.8" x14ac:dyDescent="0.3">
      <c r="P33" s="83" t="s">
        <v>40</v>
      </c>
      <c r="Q33" s="85">
        <f>Q31*Q32/1000</f>
        <v>4000</v>
      </c>
      <c r="R33" s="85">
        <f>R31*R32/1000</f>
        <v>4500</v>
      </c>
      <c r="S33" s="85">
        <f>S31*S32/1000</f>
        <v>7500</v>
      </c>
      <c r="T33" s="85">
        <f>T31*T32/1000</f>
        <v>15500</v>
      </c>
      <c r="U33" s="89">
        <f>SUM(Q33:T33)</f>
        <v>31500</v>
      </c>
    </row>
    <row r="35" spans="1:29" x14ac:dyDescent="0.3">
      <c r="A35" s="139" t="s">
        <v>36</v>
      </c>
      <c r="B35" s="139" t="s">
        <v>36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P35" s="139" t="s">
        <v>36</v>
      </c>
      <c r="Q35" s="139" t="s">
        <v>36</v>
      </c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</row>
    <row r="36" spans="1:29" x14ac:dyDescent="0.3">
      <c r="A36" t="s">
        <v>164</v>
      </c>
      <c r="P36" t="s">
        <v>168</v>
      </c>
    </row>
    <row r="37" spans="1:29" x14ac:dyDescent="0.3">
      <c r="A37" s="74" t="s">
        <v>29</v>
      </c>
      <c r="B37" s="74" t="s">
        <v>88</v>
      </c>
      <c r="C37" s="74" t="s">
        <v>89</v>
      </c>
      <c r="D37" s="74" t="s">
        <v>90</v>
      </c>
      <c r="E37" s="74" t="s">
        <v>91</v>
      </c>
      <c r="F37" s="74" t="s">
        <v>92</v>
      </c>
      <c r="G37" s="74" t="s">
        <v>93</v>
      </c>
      <c r="H37" s="74" t="s">
        <v>94</v>
      </c>
      <c r="I37" s="74" t="s">
        <v>95</v>
      </c>
      <c r="J37" s="74" t="s">
        <v>96</v>
      </c>
      <c r="K37" s="74" t="s">
        <v>97</v>
      </c>
      <c r="L37" s="74" t="s">
        <v>98</v>
      </c>
      <c r="M37" s="74" t="s">
        <v>99</v>
      </c>
      <c r="N37" s="74" t="s">
        <v>30</v>
      </c>
      <c r="P37" s="74" t="s">
        <v>37</v>
      </c>
      <c r="Q37" s="74" t="s">
        <v>88</v>
      </c>
      <c r="R37" s="74" t="s">
        <v>89</v>
      </c>
      <c r="S37" s="74" t="s">
        <v>90</v>
      </c>
      <c r="T37" s="74" t="s">
        <v>91</v>
      </c>
      <c r="U37" s="74" t="s">
        <v>92</v>
      </c>
      <c r="V37" s="74" t="s">
        <v>93</v>
      </c>
      <c r="W37" s="74" t="s">
        <v>94</v>
      </c>
      <c r="X37" s="74" t="s">
        <v>95</v>
      </c>
      <c r="Y37" s="74" t="s">
        <v>96</v>
      </c>
      <c r="Z37" s="74" t="s">
        <v>97</v>
      </c>
      <c r="AA37" s="74" t="s">
        <v>98</v>
      </c>
      <c r="AB37" s="74" t="s">
        <v>99</v>
      </c>
      <c r="AC37" s="74" t="s">
        <v>30</v>
      </c>
    </row>
    <row r="38" spans="1:29" ht="28.8" x14ac:dyDescent="0.3">
      <c r="A38" s="83" t="s">
        <v>159</v>
      </c>
      <c r="B38" s="71">
        <v>0</v>
      </c>
      <c r="C38" s="71">
        <v>0</v>
      </c>
      <c r="D38" s="71">
        <v>0</v>
      </c>
      <c r="E38" s="71">
        <v>0</v>
      </c>
      <c r="F38" s="71">
        <v>1</v>
      </c>
      <c r="G38" s="71">
        <v>0</v>
      </c>
      <c r="H38" s="71">
        <v>1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7">
        <f>SUM(B38:M38)</f>
        <v>2</v>
      </c>
      <c r="P38" s="83" t="s">
        <v>38</v>
      </c>
      <c r="Q38" s="78">
        <v>0</v>
      </c>
      <c r="R38" s="78">
        <v>1</v>
      </c>
      <c r="S38" s="78">
        <v>0</v>
      </c>
      <c r="T38" s="78">
        <v>0</v>
      </c>
      <c r="U38" s="78">
        <v>1</v>
      </c>
      <c r="V38" s="78">
        <v>0</v>
      </c>
      <c r="W38" s="78">
        <v>1</v>
      </c>
      <c r="X38" s="78">
        <v>0</v>
      </c>
      <c r="Y38" s="78">
        <v>0</v>
      </c>
      <c r="Z38" s="78">
        <v>1</v>
      </c>
      <c r="AA38" s="78">
        <v>0</v>
      </c>
      <c r="AB38" s="78">
        <v>0</v>
      </c>
      <c r="AC38" s="90">
        <f>SUM(Q38:AB38)</f>
        <v>4</v>
      </c>
    </row>
    <row r="39" spans="1:29" x14ac:dyDescent="0.3">
      <c r="A39" s="83" t="s">
        <v>161</v>
      </c>
      <c r="B39" s="71">
        <v>0</v>
      </c>
      <c r="C39" s="71">
        <v>1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1</v>
      </c>
      <c r="L39" s="71">
        <v>0</v>
      </c>
      <c r="M39" s="71">
        <v>0</v>
      </c>
      <c r="N39" s="77">
        <f>SUM(B39:M39)</f>
        <v>2</v>
      </c>
      <c r="P39" s="83" t="s">
        <v>169</v>
      </c>
      <c r="Q39" s="85">
        <v>0</v>
      </c>
      <c r="R39" s="85">
        <v>3000000</v>
      </c>
      <c r="S39" s="85">
        <v>0</v>
      </c>
      <c r="T39" s="85">
        <v>0</v>
      </c>
      <c r="U39" s="85">
        <v>1000000</v>
      </c>
      <c r="V39" s="85">
        <v>0</v>
      </c>
      <c r="W39" s="85">
        <v>1000000</v>
      </c>
      <c r="X39" s="85">
        <v>0</v>
      </c>
      <c r="Y39" s="85">
        <v>0</v>
      </c>
      <c r="Z39" s="85">
        <v>3500000</v>
      </c>
      <c r="AA39" s="85">
        <v>0</v>
      </c>
      <c r="AB39" s="85">
        <v>0</v>
      </c>
      <c r="AC39" s="91">
        <f>SUM(Q39:AB39)</f>
        <v>8500000</v>
      </c>
    </row>
    <row r="40" spans="1:29" ht="28.8" x14ac:dyDescent="0.3">
      <c r="A40" s="83" t="s">
        <v>162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7">
        <f>SUM(B40:M40)</f>
        <v>0</v>
      </c>
      <c r="P40" s="83" t="s">
        <v>40</v>
      </c>
      <c r="Q40" s="85">
        <f>Q38*Q39/1000</f>
        <v>0</v>
      </c>
      <c r="R40" s="85">
        <f t="shared" ref="R40:AB40" si="12">R38*R39/1000</f>
        <v>3000</v>
      </c>
      <c r="S40" s="85">
        <f t="shared" si="12"/>
        <v>0</v>
      </c>
      <c r="T40" s="85">
        <f t="shared" si="12"/>
        <v>0</v>
      </c>
      <c r="U40" s="85">
        <f t="shared" si="12"/>
        <v>1000</v>
      </c>
      <c r="V40" s="85">
        <f t="shared" si="12"/>
        <v>0</v>
      </c>
      <c r="W40" s="85">
        <f t="shared" si="12"/>
        <v>1000</v>
      </c>
      <c r="X40" s="85">
        <f t="shared" si="12"/>
        <v>0</v>
      </c>
      <c r="Y40" s="85">
        <f t="shared" si="12"/>
        <v>0</v>
      </c>
      <c r="Z40" s="85">
        <f t="shared" si="12"/>
        <v>3500</v>
      </c>
      <c r="AA40" s="85">
        <f t="shared" si="12"/>
        <v>0</v>
      </c>
      <c r="AB40" s="85">
        <f t="shared" si="12"/>
        <v>0</v>
      </c>
      <c r="AC40" s="92">
        <f>SUM(Q40:AB40)</f>
        <v>8500</v>
      </c>
    </row>
    <row r="41" spans="1:29" ht="28.8" x14ac:dyDescent="0.3">
      <c r="A41" s="83" t="s">
        <v>163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7">
        <f>SUM(B41:M41)</f>
        <v>0</v>
      </c>
    </row>
    <row r="42" spans="1:29" x14ac:dyDescent="0.3">
      <c r="A42" s="83" t="s">
        <v>167</v>
      </c>
      <c r="B42" s="76">
        <f>SUM(B38:B41)</f>
        <v>0</v>
      </c>
      <c r="C42" s="76">
        <f t="shared" ref="C42" si="13">SUM(C38:C41)</f>
        <v>1</v>
      </c>
      <c r="D42" s="76">
        <f t="shared" ref="D42" si="14">SUM(D38:D41)</f>
        <v>0</v>
      </c>
      <c r="E42" s="76">
        <f t="shared" ref="E42" si="15">SUM(E38:E41)</f>
        <v>0</v>
      </c>
      <c r="F42" s="76">
        <f t="shared" ref="F42" si="16">SUM(F38:F41)</f>
        <v>1</v>
      </c>
      <c r="G42" s="76">
        <f t="shared" ref="G42" si="17">SUM(G38:G41)</f>
        <v>0</v>
      </c>
      <c r="H42" s="76">
        <f t="shared" ref="H42" si="18">SUM(H38:H41)</f>
        <v>1</v>
      </c>
      <c r="I42" s="76">
        <f t="shared" ref="I42" si="19">SUM(I38:I41)</f>
        <v>0</v>
      </c>
      <c r="J42" s="76">
        <f t="shared" ref="J42" si="20">SUM(J38:J41)</f>
        <v>0</v>
      </c>
      <c r="K42" s="76">
        <f t="shared" ref="K42" si="21">SUM(K38:K41)</f>
        <v>1</v>
      </c>
      <c r="L42" s="76">
        <f t="shared" ref="L42" si="22">SUM(L38:L41)</f>
        <v>0</v>
      </c>
      <c r="M42" s="76">
        <f t="shared" ref="M42" si="23">SUM(M38:M41)</f>
        <v>0</v>
      </c>
      <c r="N42" s="88">
        <f t="shared" ref="N42" si="24">SUM(N38:N41)</f>
        <v>4</v>
      </c>
      <c r="P42" t="s">
        <v>165</v>
      </c>
    </row>
    <row r="43" spans="1:29" x14ac:dyDescent="0.3">
      <c r="A43" s="56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P43" s="74" t="s">
        <v>37</v>
      </c>
      <c r="Q43" s="74" t="s">
        <v>31</v>
      </c>
      <c r="R43" s="74" t="s">
        <v>32</v>
      </c>
      <c r="S43" s="74" t="s">
        <v>33</v>
      </c>
      <c r="T43" s="74" t="s">
        <v>34</v>
      </c>
      <c r="U43" s="74" t="s">
        <v>30</v>
      </c>
    </row>
    <row r="44" spans="1:29" ht="28.8" x14ac:dyDescent="0.3">
      <c r="A44" t="s">
        <v>165</v>
      </c>
      <c r="I44" t="s">
        <v>166</v>
      </c>
      <c r="P44" s="83" t="s">
        <v>38</v>
      </c>
      <c r="Q44" s="78">
        <v>1</v>
      </c>
      <c r="R44" s="78">
        <v>1</v>
      </c>
      <c r="S44" s="78">
        <v>1</v>
      </c>
      <c r="T44" s="78">
        <v>1</v>
      </c>
      <c r="U44" s="90">
        <f>SUM(Q44:T44)</f>
        <v>4</v>
      </c>
    </row>
    <row r="45" spans="1:29" x14ac:dyDescent="0.3">
      <c r="A45" s="75" t="s">
        <v>29</v>
      </c>
      <c r="B45" s="75" t="s">
        <v>31</v>
      </c>
      <c r="C45" s="75" t="s">
        <v>32</v>
      </c>
      <c r="D45" s="75" t="s">
        <v>33</v>
      </c>
      <c r="E45" s="75" t="s">
        <v>34</v>
      </c>
      <c r="F45" s="75" t="s">
        <v>30</v>
      </c>
      <c r="I45" s="75" t="s">
        <v>29</v>
      </c>
      <c r="J45" s="75" t="s">
        <v>31</v>
      </c>
      <c r="K45" s="75" t="s">
        <v>32</v>
      </c>
      <c r="L45" s="75" t="s">
        <v>33</v>
      </c>
      <c r="M45" s="75" t="s">
        <v>34</v>
      </c>
      <c r="N45" s="75" t="s">
        <v>30</v>
      </c>
      <c r="P45" s="83" t="s">
        <v>39</v>
      </c>
      <c r="Q45" s="85">
        <v>3000000</v>
      </c>
      <c r="R45" s="85">
        <v>1000000</v>
      </c>
      <c r="S45" s="85">
        <v>3000000</v>
      </c>
      <c r="T45" s="85">
        <f>3500000</f>
        <v>3500000</v>
      </c>
      <c r="U45" s="91">
        <f t="shared" ref="U45:U46" si="25">SUM(Q45:T45)</f>
        <v>10500000</v>
      </c>
    </row>
    <row r="46" spans="1:29" ht="28.8" x14ac:dyDescent="0.3">
      <c r="A46" s="83" t="s">
        <v>159</v>
      </c>
      <c r="B46" s="78">
        <v>0</v>
      </c>
      <c r="C46" s="78">
        <v>1</v>
      </c>
      <c r="D46" s="78">
        <v>0</v>
      </c>
      <c r="E46" s="78">
        <v>0</v>
      </c>
      <c r="F46" s="79">
        <f>SUM(B46:E46)</f>
        <v>1</v>
      </c>
      <c r="I46" s="74" t="s">
        <v>159</v>
      </c>
      <c r="J46" s="78">
        <v>0</v>
      </c>
      <c r="K46" s="78">
        <v>0</v>
      </c>
      <c r="L46" s="78">
        <v>1</v>
      </c>
      <c r="M46" s="78">
        <v>1</v>
      </c>
      <c r="N46" s="79">
        <f>SUM(J46:M46)</f>
        <v>2</v>
      </c>
      <c r="P46" s="83" t="s">
        <v>40</v>
      </c>
      <c r="Q46" s="85">
        <f>Q44*Q45/1000</f>
        <v>3000</v>
      </c>
      <c r="R46" s="85">
        <f t="shared" ref="R46:T46" si="26">R44*R45/1000</f>
        <v>1000</v>
      </c>
      <c r="S46" s="85">
        <f t="shared" si="26"/>
        <v>3000</v>
      </c>
      <c r="T46" s="85">
        <f t="shared" si="26"/>
        <v>3500</v>
      </c>
      <c r="U46" s="92">
        <f t="shared" si="25"/>
        <v>10500</v>
      </c>
    </row>
    <row r="47" spans="1:29" ht="28.8" x14ac:dyDescent="0.3">
      <c r="A47" s="83" t="s">
        <v>161</v>
      </c>
      <c r="B47" s="78">
        <v>1</v>
      </c>
      <c r="C47" s="78">
        <v>0</v>
      </c>
      <c r="D47" s="78">
        <v>1</v>
      </c>
      <c r="E47" s="78">
        <v>0</v>
      </c>
      <c r="F47" s="79">
        <f>SUM(B47:E47)</f>
        <v>2</v>
      </c>
      <c r="I47" s="74" t="s">
        <v>161</v>
      </c>
      <c r="J47" s="78">
        <v>1</v>
      </c>
      <c r="K47" s="78">
        <v>0</v>
      </c>
      <c r="L47" s="78">
        <v>0</v>
      </c>
      <c r="M47" s="78">
        <v>0</v>
      </c>
      <c r="N47" s="79">
        <f>SUM(J47:M47)</f>
        <v>1</v>
      </c>
      <c r="P47" t="s">
        <v>166</v>
      </c>
    </row>
    <row r="48" spans="1:29" ht="28.8" x14ac:dyDescent="0.3">
      <c r="A48" s="83" t="s">
        <v>162</v>
      </c>
      <c r="B48" s="78">
        <v>0</v>
      </c>
      <c r="C48" s="78">
        <v>0</v>
      </c>
      <c r="D48" s="78">
        <v>0</v>
      </c>
      <c r="E48" s="78">
        <v>1</v>
      </c>
      <c r="F48" s="79">
        <f>SUM(B48:E48)</f>
        <v>1</v>
      </c>
      <c r="I48" s="74" t="s">
        <v>162</v>
      </c>
      <c r="J48" s="78">
        <v>0</v>
      </c>
      <c r="K48" s="78">
        <v>1</v>
      </c>
      <c r="L48" s="78">
        <v>1</v>
      </c>
      <c r="M48" s="78">
        <v>0</v>
      </c>
      <c r="N48" s="79">
        <f>SUM(J48:M48)</f>
        <v>2</v>
      </c>
      <c r="P48" s="74" t="s">
        <v>37</v>
      </c>
      <c r="Q48" s="74" t="s">
        <v>31</v>
      </c>
      <c r="R48" s="74" t="s">
        <v>32</v>
      </c>
      <c r="S48" s="74" t="s">
        <v>33</v>
      </c>
      <c r="T48" s="74" t="s">
        <v>34</v>
      </c>
      <c r="U48" s="74" t="s">
        <v>30</v>
      </c>
    </row>
    <row r="49" spans="1:29" ht="28.8" x14ac:dyDescent="0.3">
      <c r="A49" s="84" t="s">
        <v>163</v>
      </c>
      <c r="B49" s="80">
        <v>0</v>
      </c>
      <c r="C49" s="80">
        <v>0</v>
      </c>
      <c r="D49" s="80">
        <v>0</v>
      </c>
      <c r="E49" s="80">
        <v>0</v>
      </c>
      <c r="F49" s="81">
        <f>SUM(B49:E49)</f>
        <v>0</v>
      </c>
      <c r="I49" s="74" t="s">
        <v>163</v>
      </c>
      <c r="J49" s="78">
        <v>0</v>
      </c>
      <c r="K49" s="78">
        <v>0</v>
      </c>
      <c r="L49" s="78">
        <v>0</v>
      </c>
      <c r="M49" s="78">
        <v>1</v>
      </c>
      <c r="N49" s="79">
        <f>SUM(J49:M49)</f>
        <v>1</v>
      </c>
      <c r="P49" s="83" t="s">
        <v>38</v>
      </c>
      <c r="Q49" s="78">
        <v>1</v>
      </c>
      <c r="R49" s="78">
        <v>1</v>
      </c>
      <c r="S49" s="78">
        <v>2</v>
      </c>
      <c r="T49" s="78">
        <v>2</v>
      </c>
      <c r="U49" s="90">
        <f>SUM(Q49:T49)</f>
        <v>6</v>
      </c>
    </row>
    <row r="50" spans="1:29" x14ac:dyDescent="0.3">
      <c r="A50" s="83" t="s">
        <v>167</v>
      </c>
      <c r="B50" s="76">
        <f>SUM(B46:B49)</f>
        <v>1</v>
      </c>
      <c r="C50" s="76">
        <f t="shared" ref="C50" si="27">SUM(C46:C49)</f>
        <v>1</v>
      </c>
      <c r="D50" s="76">
        <f t="shared" ref="D50" si="28">SUM(D46:D49)</f>
        <v>1</v>
      </c>
      <c r="E50" s="76">
        <f t="shared" ref="E50" si="29">SUM(E46:E49)</f>
        <v>1</v>
      </c>
      <c r="F50" s="88">
        <f t="shared" ref="F50" si="30">SUM(F46:F49)</f>
        <v>4</v>
      </c>
      <c r="I50" s="74" t="s">
        <v>167</v>
      </c>
      <c r="J50" s="76">
        <f>SUM(J46:J49)</f>
        <v>1</v>
      </c>
      <c r="K50" s="76">
        <f t="shared" ref="K50" si="31">SUM(K46:K49)</f>
        <v>1</v>
      </c>
      <c r="L50" s="76">
        <f t="shared" ref="L50" si="32">SUM(L46:L49)</f>
        <v>2</v>
      </c>
      <c r="M50" s="76">
        <f t="shared" ref="M50" si="33">SUM(M46:M49)</f>
        <v>2</v>
      </c>
      <c r="N50" s="88">
        <f t="shared" ref="N50" si="34">SUM(N46:N49)</f>
        <v>6</v>
      </c>
      <c r="P50" s="83" t="s">
        <v>39</v>
      </c>
      <c r="Q50" s="85">
        <f>3000000</f>
        <v>3000000</v>
      </c>
      <c r="R50" s="85">
        <v>3500000</v>
      </c>
      <c r="S50" s="85">
        <f>(1000000+3500000)/2</f>
        <v>2250000</v>
      </c>
      <c r="T50" s="85">
        <f>(1000000+8000000)/2</f>
        <v>4500000</v>
      </c>
      <c r="U50" s="91">
        <f>SUM(Q50:T50)</f>
        <v>13250000</v>
      </c>
    </row>
    <row r="51" spans="1:29" ht="28.8" x14ac:dyDescent="0.3">
      <c r="P51" s="83" t="s">
        <v>40</v>
      </c>
      <c r="Q51" s="85">
        <f>Q49*Q50/1000</f>
        <v>3000</v>
      </c>
      <c r="R51" s="85">
        <f>R49*R50/1000</f>
        <v>3500</v>
      </c>
      <c r="S51" s="85">
        <f>S49*S50/1000</f>
        <v>4500</v>
      </c>
      <c r="T51" s="85">
        <f>T49*T50/1000</f>
        <v>9000</v>
      </c>
      <c r="U51" s="92">
        <f>SUM(Q51:T51)</f>
        <v>20000</v>
      </c>
    </row>
    <row r="53" spans="1:29" x14ac:dyDescent="0.3">
      <c r="A53" s="140" t="s">
        <v>182</v>
      </c>
      <c r="B53" s="140" t="s">
        <v>36</v>
      </c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P53" s="140" t="s">
        <v>182</v>
      </c>
      <c r="Q53" s="140" t="s">
        <v>36</v>
      </c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</row>
    <row r="54" spans="1:29" x14ac:dyDescent="0.3">
      <c r="A54" t="s">
        <v>164</v>
      </c>
      <c r="P54" t="s">
        <v>168</v>
      </c>
    </row>
    <row r="55" spans="1:29" x14ac:dyDescent="0.3">
      <c r="A55" s="74" t="s">
        <v>29</v>
      </c>
      <c r="B55" s="74" t="s">
        <v>88</v>
      </c>
      <c r="C55" s="74" t="s">
        <v>89</v>
      </c>
      <c r="D55" s="74" t="s">
        <v>90</v>
      </c>
      <c r="E55" s="74" t="s">
        <v>91</v>
      </c>
      <c r="F55" s="74" t="s">
        <v>92</v>
      </c>
      <c r="G55" s="74" t="s">
        <v>93</v>
      </c>
      <c r="H55" s="74" t="s">
        <v>94</v>
      </c>
      <c r="I55" s="74" t="s">
        <v>95</v>
      </c>
      <c r="J55" s="74" t="s">
        <v>96</v>
      </c>
      <c r="K55" s="74" t="s">
        <v>97</v>
      </c>
      <c r="L55" s="74" t="s">
        <v>98</v>
      </c>
      <c r="M55" s="74" t="s">
        <v>99</v>
      </c>
      <c r="N55" s="74" t="s">
        <v>30</v>
      </c>
      <c r="P55" s="74" t="s">
        <v>37</v>
      </c>
      <c r="Q55" s="74" t="s">
        <v>88</v>
      </c>
      <c r="R55" s="74" t="s">
        <v>89</v>
      </c>
      <c r="S55" s="74" t="s">
        <v>90</v>
      </c>
      <c r="T55" s="74" t="s">
        <v>91</v>
      </c>
      <c r="U55" s="74" t="s">
        <v>92</v>
      </c>
      <c r="V55" s="74" t="s">
        <v>93</v>
      </c>
      <c r="W55" s="74" t="s">
        <v>94</v>
      </c>
      <c r="X55" s="74" t="s">
        <v>95</v>
      </c>
      <c r="Y55" s="74" t="s">
        <v>96</v>
      </c>
      <c r="Z55" s="74" t="s">
        <v>97</v>
      </c>
      <c r="AA55" s="74" t="s">
        <v>98</v>
      </c>
      <c r="AB55" s="74" t="s">
        <v>99</v>
      </c>
      <c r="AC55" s="74" t="s">
        <v>30</v>
      </c>
    </row>
    <row r="56" spans="1:29" ht="28.8" x14ac:dyDescent="0.3">
      <c r="A56" s="83" t="s">
        <v>159</v>
      </c>
      <c r="B56" s="71">
        <v>0</v>
      </c>
      <c r="C56" s="71">
        <v>1</v>
      </c>
      <c r="D56" s="71">
        <v>0</v>
      </c>
      <c r="E56" s="71">
        <v>0</v>
      </c>
      <c r="F56" s="71">
        <v>1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7">
        <f>SUM(B56:M56)</f>
        <v>2</v>
      </c>
      <c r="P56" s="83" t="s">
        <v>38</v>
      </c>
      <c r="Q56" s="78">
        <v>0</v>
      </c>
      <c r="R56" s="78">
        <v>1</v>
      </c>
      <c r="S56" s="78">
        <v>0</v>
      </c>
      <c r="T56" s="78">
        <v>0</v>
      </c>
      <c r="U56" s="78">
        <v>1</v>
      </c>
      <c r="V56" s="78">
        <v>0</v>
      </c>
      <c r="W56" s="78">
        <v>1</v>
      </c>
      <c r="X56" s="78">
        <v>0</v>
      </c>
      <c r="Y56" s="78">
        <v>0</v>
      </c>
      <c r="Z56" s="78">
        <v>0</v>
      </c>
      <c r="AA56" s="78">
        <v>0</v>
      </c>
      <c r="AB56" s="78">
        <v>0</v>
      </c>
      <c r="AC56" s="90">
        <f>SUM(Q56:AB56)</f>
        <v>3</v>
      </c>
    </row>
    <row r="57" spans="1:29" x14ac:dyDescent="0.3">
      <c r="A57" s="83" t="s">
        <v>161</v>
      </c>
      <c r="B57" s="71">
        <v>0</v>
      </c>
      <c r="C57" s="71"/>
      <c r="D57" s="71">
        <v>0</v>
      </c>
      <c r="E57" s="71">
        <v>0</v>
      </c>
      <c r="F57" s="71">
        <v>0</v>
      </c>
      <c r="G57" s="71">
        <v>0</v>
      </c>
      <c r="H57" s="71">
        <v>1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7">
        <f>SUM(B57:M57)</f>
        <v>1</v>
      </c>
      <c r="P57" s="83" t="s">
        <v>169</v>
      </c>
      <c r="Q57" s="85">
        <v>0</v>
      </c>
      <c r="R57" s="85">
        <v>1000000</v>
      </c>
      <c r="S57" s="85">
        <v>0</v>
      </c>
      <c r="T57" s="85">
        <v>0</v>
      </c>
      <c r="U57" s="85">
        <v>1000000</v>
      </c>
      <c r="V57" s="85">
        <v>0</v>
      </c>
      <c r="W57" s="85">
        <v>3000000</v>
      </c>
      <c r="X57" s="85">
        <v>0</v>
      </c>
      <c r="Y57" s="85">
        <v>0</v>
      </c>
      <c r="Z57" s="85">
        <v>0</v>
      </c>
      <c r="AA57" s="85">
        <v>0</v>
      </c>
      <c r="AB57" s="85">
        <v>0</v>
      </c>
      <c r="AC57" s="91">
        <f>SUM(Q57:AB57)</f>
        <v>5000000</v>
      </c>
    </row>
    <row r="58" spans="1:29" ht="28.8" x14ac:dyDescent="0.3">
      <c r="A58" s="83" t="s">
        <v>162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/>
      <c r="L58" s="71">
        <v>0</v>
      </c>
      <c r="M58" s="71">
        <v>0</v>
      </c>
      <c r="N58" s="77">
        <f>SUM(B58:M58)</f>
        <v>0</v>
      </c>
      <c r="P58" s="83" t="s">
        <v>40</v>
      </c>
      <c r="Q58" s="85">
        <f>Q56*Q57/1000</f>
        <v>0</v>
      </c>
      <c r="R58" s="85">
        <f t="shared" ref="R58:AB58" si="35">R56*R57/1000</f>
        <v>1000</v>
      </c>
      <c r="S58" s="85">
        <f t="shared" si="35"/>
        <v>0</v>
      </c>
      <c r="T58" s="85">
        <f t="shared" si="35"/>
        <v>0</v>
      </c>
      <c r="U58" s="85">
        <f t="shared" si="35"/>
        <v>1000</v>
      </c>
      <c r="V58" s="85">
        <f t="shared" si="35"/>
        <v>0</v>
      </c>
      <c r="W58" s="85">
        <f t="shared" si="35"/>
        <v>3000</v>
      </c>
      <c r="X58" s="85">
        <f t="shared" si="35"/>
        <v>0</v>
      </c>
      <c r="Y58" s="85">
        <f t="shared" si="35"/>
        <v>0</v>
      </c>
      <c r="Z58" s="85">
        <f t="shared" si="35"/>
        <v>0</v>
      </c>
      <c r="AA58" s="85">
        <f t="shared" si="35"/>
        <v>0</v>
      </c>
      <c r="AB58" s="85">
        <f t="shared" si="35"/>
        <v>0</v>
      </c>
      <c r="AC58" s="94">
        <f>SUM(Q58:AB58)</f>
        <v>5000</v>
      </c>
    </row>
    <row r="59" spans="1:29" ht="28.8" x14ac:dyDescent="0.3">
      <c r="A59" s="83" t="s">
        <v>163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7">
        <f>SUM(B59:M59)</f>
        <v>0</v>
      </c>
    </row>
    <row r="60" spans="1:29" x14ac:dyDescent="0.3">
      <c r="A60" s="83" t="s">
        <v>167</v>
      </c>
      <c r="B60" s="76">
        <f>SUM(B56:B59)</f>
        <v>0</v>
      </c>
      <c r="C60" s="76">
        <f t="shared" ref="C60" si="36">SUM(C56:C59)</f>
        <v>1</v>
      </c>
      <c r="D60" s="76">
        <f t="shared" ref="D60" si="37">SUM(D56:D59)</f>
        <v>0</v>
      </c>
      <c r="E60" s="76">
        <f t="shared" ref="E60" si="38">SUM(E56:E59)</f>
        <v>0</v>
      </c>
      <c r="F60" s="76">
        <f t="shared" ref="F60" si="39">SUM(F56:F59)</f>
        <v>1</v>
      </c>
      <c r="G60" s="76">
        <f t="shared" ref="G60" si="40">SUM(G56:G59)</f>
        <v>0</v>
      </c>
      <c r="H60" s="76">
        <f t="shared" ref="H60" si="41">SUM(H56:H59)</f>
        <v>1</v>
      </c>
      <c r="I60" s="76">
        <f t="shared" ref="I60" si="42">SUM(I56:I59)</f>
        <v>0</v>
      </c>
      <c r="J60" s="76">
        <f t="shared" ref="J60" si="43">SUM(J56:J59)</f>
        <v>0</v>
      </c>
      <c r="K60" s="76">
        <f t="shared" ref="K60" si="44">SUM(K56:K59)</f>
        <v>0</v>
      </c>
      <c r="L60" s="76">
        <f t="shared" ref="L60" si="45">SUM(L56:L59)</f>
        <v>0</v>
      </c>
      <c r="M60" s="76">
        <f t="shared" ref="M60" si="46">SUM(M56:M59)</f>
        <v>0</v>
      </c>
      <c r="N60" s="93">
        <f t="shared" ref="N60" si="47">SUM(N56:N59)</f>
        <v>3</v>
      </c>
      <c r="P60" t="s">
        <v>165</v>
      </c>
    </row>
    <row r="61" spans="1:29" x14ac:dyDescent="0.3">
      <c r="A61" s="56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P61" s="74" t="s">
        <v>37</v>
      </c>
      <c r="Q61" s="74" t="s">
        <v>31</v>
      </c>
      <c r="R61" s="74" t="s">
        <v>32</v>
      </c>
      <c r="S61" s="74" t="s">
        <v>33</v>
      </c>
      <c r="T61" s="74" t="s">
        <v>34</v>
      </c>
      <c r="U61" s="74" t="s">
        <v>30</v>
      </c>
    </row>
    <row r="62" spans="1:29" ht="28.8" x14ac:dyDescent="0.3">
      <c r="A62" t="s">
        <v>165</v>
      </c>
      <c r="I62" t="s">
        <v>166</v>
      </c>
      <c r="P62" s="83" t="s">
        <v>38</v>
      </c>
      <c r="Q62" s="78">
        <v>0</v>
      </c>
      <c r="R62" s="78">
        <v>1</v>
      </c>
      <c r="S62" s="78">
        <v>1</v>
      </c>
      <c r="T62" s="78">
        <v>1</v>
      </c>
      <c r="U62" s="90">
        <f>SUM(Q62:T62)</f>
        <v>3</v>
      </c>
    </row>
    <row r="63" spans="1:29" x14ac:dyDescent="0.3">
      <c r="A63" s="75" t="s">
        <v>29</v>
      </c>
      <c r="B63" s="75" t="s">
        <v>31</v>
      </c>
      <c r="C63" s="75" t="s">
        <v>32</v>
      </c>
      <c r="D63" s="75" t="s">
        <v>33</v>
      </c>
      <c r="E63" s="75" t="s">
        <v>34</v>
      </c>
      <c r="F63" s="75" t="s">
        <v>30</v>
      </c>
      <c r="I63" s="75" t="s">
        <v>29</v>
      </c>
      <c r="J63" s="75" t="s">
        <v>31</v>
      </c>
      <c r="K63" s="75" t="s">
        <v>32</v>
      </c>
      <c r="L63" s="75" t="s">
        <v>33</v>
      </c>
      <c r="M63" s="75" t="s">
        <v>34</v>
      </c>
      <c r="N63" s="75" t="s">
        <v>30</v>
      </c>
      <c r="P63" s="83" t="s">
        <v>39</v>
      </c>
      <c r="Q63" s="85">
        <v>0</v>
      </c>
      <c r="R63" s="85">
        <v>1000000</v>
      </c>
      <c r="S63" s="85">
        <v>3000000</v>
      </c>
      <c r="T63" s="85">
        <f>3500000</f>
        <v>3500000</v>
      </c>
      <c r="U63" s="91">
        <f t="shared" ref="U63:U64" si="48">SUM(Q63:T63)</f>
        <v>7500000</v>
      </c>
    </row>
    <row r="64" spans="1:29" ht="28.8" x14ac:dyDescent="0.3">
      <c r="A64" s="83" t="s">
        <v>159</v>
      </c>
      <c r="B64" s="78">
        <v>0</v>
      </c>
      <c r="C64" s="78">
        <v>1</v>
      </c>
      <c r="D64" s="78">
        <v>0</v>
      </c>
      <c r="E64" s="78">
        <v>0</v>
      </c>
      <c r="F64" s="79">
        <f>SUM(B64:E64)</f>
        <v>1</v>
      </c>
      <c r="I64" s="74" t="s">
        <v>159</v>
      </c>
      <c r="J64" s="78">
        <v>1</v>
      </c>
      <c r="K64" s="78">
        <v>0</v>
      </c>
      <c r="L64" s="78">
        <v>0</v>
      </c>
      <c r="M64" s="78">
        <v>0</v>
      </c>
      <c r="N64" s="79">
        <f>SUM(J64:M64)</f>
        <v>1</v>
      </c>
      <c r="P64" s="83" t="s">
        <v>40</v>
      </c>
      <c r="Q64" s="85">
        <f>Q62*Q63/1000</f>
        <v>0</v>
      </c>
      <c r="R64" s="85">
        <f t="shared" ref="R64:T64" si="49">R62*R63/1000</f>
        <v>1000</v>
      </c>
      <c r="S64" s="85">
        <f t="shared" si="49"/>
        <v>3000</v>
      </c>
      <c r="T64" s="85">
        <f t="shared" si="49"/>
        <v>3500</v>
      </c>
      <c r="U64" s="94">
        <f t="shared" si="48"/>
        <v>7500</v>
      </c>
    </row>
    <row r="65" spans="1:21" ht="28.8" x14ac:dyDescent="0.3">
      <c r="A65" s="83" t="s">
        <v>161</v>
      </c>
      <c r="B65" s="78">
        <v>0</v>
      </c>
      <c r="C65" s="78">
        <v>0</v>
      </c>
      <c r="D65" s="78">
        <v>1</v>
      </c>
      <c r="E65" s="78">
        <v>0</v>
      </c>
      <c r="F65" s="79">
        <f>SUM(B65:E65)</f>
        <v>1</v>
      </c>
      <c r="I65" s="74" t="s">
        <v>161</v>
      </c>
      <c r="J65" s="78">
        <v>0</v>
      </c>
      <c r="K65" s="78">
        <v>0</v>
      </c>
      <c r="L65" s="78">
        <v>1</v>
      </c>
      <c r="M65" s="78">
        <v>0</v>
      </c>
      <c r="N65" s="79">
        <f>SUM(J65:M65)</f>
        <v>1</v>
      </c>
      <c r="P65" t="s">
        <v>166</v>
      </c>
    </row>
    <row r="66" spans="1:21" ht="28.8" x14ac:dyDescent="0.3">
      <c r="A66" s="83" t="s">
        <v>162</v>
      </c>
      <c r="B66" s="78">
        <v>0</v>
      </c>
      <c r="C66" s="78">
        <v>0</v>
      </c>
      <c r="D66" s="78">
        <v>0</v>
      </c>
      <c r="E66" s="78">
        <v>1</v>
      </c>
      <c r="F66" s="79">
        <f>SUM(B66:E66)</f>
        <v>1</v>
      </c>
      <c r="I66" s="74" t="s">
        <v>162</v>
      </c>
      <c r="J66" s="78">
        <v>0</v>
      </c>
      <c r="K66" s="78">
        <v>1</v>
      </c>
      <c r="L66" s="78">
        <v>0</v>
      </c>
      <c r="M66" s="78">
        <v>0</v>
      </c>
      <c r="N66" s="79">
        <f>SUM(J66:M66)</f>
        <v>1</v>
      </c>
      <c r="P66" s="74" t="s">
        <v>37</v>
      </c>
      <c r="Q66" s="74" t="s">
        <v>31</v>
      </c>
      <c r="R66" s="74" t="s">
        <v>32</v>
      </c>
      <c r="S66" s="74" t="s">
        <v>33</v>
      </c>
      <c r="T66" s="74" t="s">
        <v>34</v>
      </c>
      <c r="U66" s="74" t="s">
        <v>30</v>
      </c>
    </row>
    <row r="67" spans="1:21" ht="28.8" x14ac:dyDescent="0.3">
      <c r="A67" s="84" t="s">
        <v>163</v>
      </c>
      <c r="B67" s="80">
        <v>0</v>
      </c>
      <c r="C67" s="80">
        <v>0</v>
      </c>
      <c r="D67" s="80">
        <v>0</v>
      </c>
      <c r="E67" s="80">
        <v>0</v>
      </c>
      <c r="F67" s="81">
        <f>SUM(B67:E67)</f>
        <v>0</v>
      </c>
      <c r="I67" s="74" t="s">
        <v>163</v>
      </c>
      <c r="J67" s="78">
        <v>0</v>
      </c>
      <c r="K67" s="78">
        <v>0</v>
      </c>
      <c r="L67" s="78">
        <v>0</v>
      </c>
      <c r="M67" s="78">
        <v>1</v>
      </c>
      <c r="N67" s="79">
        <f>SUM(J67:M67)</f>
        <v>1</v>
      </c>
      <c r="P67" s="83" t="s">
        <v>38</v>
      </c>
      <c r="Q67" s="78">
        <v>1</v>
      </c>
      <c r="R67" s="78">
        <v>1</v>
      </c>
      <c r="S67" s="78">
        <v>1</v>
      </c>
      <c r="T67" s="78">
        <v>1</v>
      </c>
      <c r="U67" s="90">
        <f>SUM(Q67:T67)</f>
        <v>4</v>
      </c>
    </row>
    <row r="68" spans="1:21" x14ac:dyDescent="0.3">
      <c r="A68" s="83" t="s">
        <v>167</v>
      </c>
      <c r="B68" s="76">
        <f>SUM(B64:B67)</f>
        <v>0</v>
      </c>
      <c r="C68" s="76">
        <f t="shared" ref="C68" si="50">SUM(C64:C67)</f>
        <v>1</v>
      </c>
      <c r="D68" s="76">
        <f t="shared" ref="D68" si="51">SUM(D64:D67)</f>
        <v>1</v>
      </c>
      <c r="E68" s="76">
        <f t="shared" ref="E68" si="52">SUM(E64:E67)</f>
        <v>1</v>
      </c>
      <c r="F68" s="93">
        <f t="shared" ref="F68" si="53">SUM(F64:F67)</f>
        <v>3</v>
      </c>
      <c r="I68" s="74" t="s">
        <v>167</v>
      </c>
      <c r="J68" s="76">
        <f>SUM(J64:J67)</f>
        <v>1</v>
      </c>
      <c r="K68" s="76">
        <f t="shared" ref="K68" si="54">SUM(K64:K67)</f>
        <v>1</v>
      </c>
      <c r="L68" s="76">
        <f t="shared" ref="L68" si="55">SUM(L64:L67)</f>
        <v>1</v>
      </c>
      <c r="M68" s="76">
        <f t="shared" ref="M68" si="56">SUM(M64:M67)</f>
        <v>1</v>
      </c>
      <c r="N68" s="93">
        <f t="shared" ref="N68" si="57">SUM(N64:N67)</f>
        <v>4</v>
      </c>
      <c r="P68" s="83" t="s">
        <v>39</v>
      </c>
      <c r="Q68" s="85">
        <v>1000000</v>
      </c>
      <c r="R68" s="85">
        <f>3500000</f>
        <v>3500000</v>
      </c>
      <c r="S68" s="85">
        <f>(3000000)</f>
        <v>3000000</v>
      </c>
      <c r="T68" s="85">
        <f>8000000</f>
        <v>8000000</v>
      </c>
      <c r="U68" s="91">
        <f>SUM(Q68:T68)</f>
        <v>15500000</v>
      </c>
    </row>
    <row r="69" spans="1:21" ht="28.8" x14ac:dyDescent="0.3">
      <c r="P69" s="83" t="s">
        <v>40</v>
      </c>
      <c r="Q69" s="85">
        <f>Q67*Q68/1000</f>
        <v>1000</v>
      </c>
      <c r="R69" s="85">
        <f>R67*R68/1000</f>
        <v>3500</v>
      </c>
      <c r="S69" s="85">
        <f>S67*S68/1000</f>
        <v>3000</v>
      </c>
      <c r="T69" s="85">
        <f>T67*T68/1000</f>
        <v>8000</v>
      </c>
      <c r="U69" s="94">
        <f>SUM(Q69:T69)</f>
        <v>15500</v>
      </c>
    </row>
  </sheetData>
  <mergeCells count="7">
    <mergeCell ref="H13:P15"/>
    <mergeCell ref="A35:N35"/>
    <mergeCell ref="P35:AC35"/>
    <mergeCell ref="A53:N53"/>
    <mergeCell ref="P53:AC53"/>
    <mergeCell ref="A17:N17"/>
    <mergeCell ref="P17:AC17"/>
  </mergeCells>
  <phoneticPr fontId="5" type="noConversion"/>
  <pageMargins left="0.7" right="0.7" top="0.75" bottom="0.75" header="0.3" footer="0.3"/>
  <pageSetup paperSize="9" scale="54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AB0FC-5D99-452F-9902-91404A4488EC}">
  <dimension ref="A1:O134"/>
  <sheetViews>
    <sheetView zoomScale="70" zoomScaleNormal="70" workbookViewId="0">
      <selection activeCell="F134" sqref="E134:F134"/>
    </sheetView>
  </sheetViews>
  <sheetFormatPr defaultRowHeight="14.4" x14ac:dyDescent="0.3"/>
  <cols>
    <col min="1" max="1" width="6.88671875" customWidth="1"/>
    <col min="2" max="2" width="43.33203125" customWidth="1"/>
    <col min="3" max="3" width="13.5546875" customWidth="1"/>
    <col min="4" max="4" width="13.88671875" customWidth="1"/>
    <col min="5" max="5" width="13.6640625" customWidth="1"/>
    <col min="6" max="6" width="13.88671875" customWidth="1"/>
    <col min="7" max="7" width="14.109375" customWidth="1"/>
    <col min="8" max="8" width="14" customWidth="1"/>
    <col min="9" max="9" width="13.109375" customWidth="1"/>
    <col min="10" max="10" width="14" customWidth="1"/>
    <col min="11" max="11" width="16" customWidth="1"/>
    <col min="12" max="12" width="15.6640625" customWidth="1"/>
    <col min="13" max="13" width="15" customWidth="1"/>
    <col min="14" max="14" width="13.33203125" customWidth="1"/>
    <col min="15" max="15" width="14.109375" customWidth="1"/>
  </cols>
  <sheetData>
    <row r="1" spans="1:15" x14ac:dyDescent="0.3">
      <c r="A1" t="s">
        <v>56</v>
      </c>
      <c r="D1" s="95" t="s">
        <v>5</v>
      </c>
    </row>
    <row r="2" spans="1:15" x14ac:dyDescent="0.3">
      <c r="A2" s="147" t="s">
        <v>0</v>
      </c>
      <c r="B2" s="147" t="s">
        <v>37</v>
      </c>
      <c r="C2" s="144" t="s">
        <v>197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142" t="s">
        <v>30</v>
      </c>
    </row>
    <row r="3" spans="1:15" x14ac:dyDescent="0.3">
      <c r="A3" s="147"/>
      <c r="B3" s="147"/>
      <c r="C3" s="11" t="s">
        <v>186</v>
      </c>
      <c r="D3" s="11" t="s">
        <v>187</v>
      </c>
      <c r="E3" s="11" t="s">
        <v>188</v>
      </c>
      <c r="F3" s="11" t="s">
        <v>189</v>
      </c>
      <c r="G3" s="11" t="s">
        <v>190</v>
      </c>
      <c r="H3" s="11" t="s">
        <v>191</v>
      </c>
      <c r="I3" s="11" t="s">
        <v>192</v>
      </c>
      <c r="J3" s="11" t="s">
        <v>193</v>
      </c>
      <c r="K3" s="11" t="s">
        <v>194</v>
      </c>
      <c r="L3" s="11" t="s">
        <v>195</v>
      </c>
      <c r="M3" s="11" t="s">
        <v>185</v>
      </c>
      <c r="N3" s="11" t="s">
        <v>184</v>
      </c>
      <c r="O3" s="143"/>
    </row>
    <row r="4" spans="1:15" x14ac:dyDescent="0.3">
      <c r="A4" s="100">
        <v>1</v>
      </c>
      <c r="B4" s="98" t="s">
        <v>41</v>
      </c>
      <c r="C4" s="99">
        <f t="shared" ref="C4:N4" si="0">SUM(C5:C6)</f>
        <v>500</v>
      </c>
      <c r="D4" s="99">
        <f t="shared" si="0"/>
        <v>0</v>
      </c>
      <c r="E4" s="99">
        <f t="shared" si="0"/>
        <v>0</v>
      </c>
      <c r="F4" s="99">
        <f t="shared" si="0"/>
        <v>0</v>
      </c>
      <c r="G4" s="99">
        <f t="shared" si="0"/>
        <v>0</v>
      </c>
      <c r="H4" s="99">
        <f t="shared" si="0"/>
        <v>0</v>
      </c>
      <c r="I4" s="99">
        <f t="shared" si="0"/>
        <v>2500</v>
      </c>
      <c r="J4" s="99">
        <f t="shared" si="0"/>
        <v>0</v>
      </c>
      <c r="K4" s="99">
        <f t="shared" si="0"/>
        <v>0</v>
      </c>
      <c r="L4" s="99">
        <f t="shared" si="0"/>
        <v>0</v>
      </c>
      <c r="M4" s="99">
        <f t="shared" si="0"/>
        <v>0</v>
      </c>
      <c r="N4" s="99">
        <f t="shared" si="0"/>
        <v>0</v>
      </c>
      <c r="O4" s="96">
        <f>SUM(C4:M4)</f>
        <v>3000</v>
      </c>
    </row>
    <row r="5" spans="1:15" x14ac:dyDescent="0.3">
      <c r="A5" s="17" t="s">
        <v>72</v>
      </c>
      <c r="B5" s="10" t="s">
        <v>2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f>2500000/1000</f>
        <v>2500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96">
        <f>SUM(C5:M5)</f>
        <v>2500</v>
      </c>
    </row>
    <row r="6" spans="1:15" x14ac:dyDescent="0.3">
      <c r="A6" s="17" t="s">
        <v>73</v>
      </c>
      <c r="B6" s="10" t="s">
        <v>3</v>
      </c>
      <c r="C6" s="19">
        <f>500000/1000</f>
        <v>500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96">
        <f>SUM(C6:M6)</f>
        <v>500</v>
      </c>
    </row>
    <row r="7" spans="1:15" x14ac:dyDescent="0.3">
      <c r="A7" s="100">
        <v>2</v>
      </c>
      <c r="B7" s="98" t="s">
        <v>42</v>
      </c>
      <c r="C7" s="99">
        <f>C8</f>
        <v>305.30399999999997</v>
      </c>
      <c r="D7" s="99">
        <f t="shared" ref="D7:N7" si="1">D8</f>
        <v>206.25</v>
      </c>
      <c r="E7" s="99">
        <f t="shared" si="1"/>
        <v>206.25</v>
      </c>
      <c r="F7" s="99">
        <f t="shared" si="1"/>
        <v>206.25</v>
      </c>
      <c r="G7" s="99">
        <f t="shared" si="1"/>
        <v>206.25</v>
      </c>
      <c r="H7" s="99">
        <f t="shared" si="1"/>
        <v>206.25</v>
      </c>
      <c r="I7" s="99">
        <f t="shared" si="1"/>
        <v>206.25</v>
      </c>
      <c r="J7" s="99">
        <f t="shared" si="1"/>
        <v>206.25</v>
      </c>
      <c r="K7" s="99">
        <f t="shared" si="1"/>
        <v>206.25</v>
      </c>
      <c r="L7" s="99">
        <f t="shared" si="1"/>
        <v>246.25</v>
      </c>
      <c r="M7" s="99">
        <f t="shared" si="1"/>
        <v>246.25</v>
      </c>
      <c r="N7" s="99">
        <f t="shared" si="1"/>
        <v>246.25</v>
      </c>
      <c r="O7" s="96">
        <f t="shared" ref="O7:O19" si="2">SUM(C7:N7)</f>
        <v>2694.0540000000001</v>
      </c>
    </row>
    <row r="8" spans="1:15" x14ac:dyDescent="0.3">
      <c r="A8" s="101" t="s">
        <v>57</v>
      </c>
      <c r="B8" s="102" t="s">
        <v>55</v>
      </c>
      <c r="C8" s="103">
        <f>SUM(C9:C19)</f>
        <v>305.30399999999997</v>
      </c>
      <c r="D8" s="103">
        <f t="shared" ref="D8:N8" si="3">SUM(D9:D19)</f>
        <v>206.25</v>
      </c>
      <c r="E8" s="103">
        <f t="shared" si="3"/>
        <v>206.25</v>
      </c>
      <c r="F8" s="103">
        <f t="shared" si="3"/>
        <v>206.25</v>
      </c>
      <c r="G8" s="103">
        <f t="shared" si="3"/>
        <v>206.25</v>
      </c>
      <c r="H8" s="103">
        <f t="shared" si="3"/>
        <v>206.25</v>
      </c>
      <c r="I8" s="103">
        <f t="shared" si="3"/>
        <v>206.25</v>
      </c>
      <c r="J8" s="103">
        <f t="shared" si="3"/>
        <v>206.25</v>
      </c>
      <c r="K8" s="103">
        <f t="shared" si="3"/>
        <v>206.25</v>
      </c>
      <c r="L8" s="103">
        <f t="shared" si="3"/>
        <v>246.25</v>
      </c>
      <c r="M8" s="103">
        <f t="shared" si="3"/>
        <v>246.25</v>
      </c>
      <c r="N8" s="103">
        <f t="shared" si="3"/>
        <v>246.25</v>
      </c>
      <c r="O8" s="96">
        <f t="shared" si="2"/>
        <v>2694.0540000000001</v>
      </c>
    </row>
    <row r="9" spans="1:15" x14ac:dyDescent="0.3">
      <c r="A9" s="18" t="s">
        <v>58</v>
      </c>
      <c r="B9" s="4" t="s">
        <v>9</v>
      </c>
      <c r="C9" s="19">
        <v>14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96">
        <f t="shared" si="2"/>
        <v>14</v>
      </c>
    </row>
    <row r="10" spans="1:15" ht="28.8" x14ac:dyDescent="0.3">
      <c r="A10" s="18" t="s">
        <v>59</v>
      </c>
      <c r="B10" s="4" t="s">
        <v>104</v>
      </c>
      <c r="C10" s="19">
        <f>20304/1000</f>
        <v>20.303999999999998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96">
        <f t="shared" si="2"/>
        <v>20.303999999999998</v>
      </c>
    </row>
    <row r="11" spans="1:15" x14ac:dyDescent="0.3">
      <c r="A11" s="18" t="s">
        <v>60</v>
      </c>
      <c r="B11" s="4" t="s">
        <v>10</v>
      </c>
      <c r="C11" s="19">
        <v>6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96">
        <f t="shared" si="2"/>
        <v>6</v>
      </c>
    </row>
    <row r="12" spans="1:15" ht="28.8" x14ac:dyDescent="0.3">
      <c r="A12" s="18" t="s">
        <v>61</v>
      </c>
      <c r="B12" s="4" t="s">
        <v>43</v>
      </c>
      <c r="C12" s="19">
        <v>14</v>
      </c>
      <c r="D12" s="19">
        <v>14</v>
      </c>
      <c r="E12" s="19">
        <v>14</v>
      </c>
      <c r="F12" s="19">
        <v>14</v>
      </c>
      <c r="G12" s="19">
        <v>14</v>
      </c>
      <c r="H12" s="19">
        <v>14</v>
      </c>
      <c r="I12" s="19">
        <v>14</v>
      </c>
      <c r="J12" s="19">
        <v>14</v>
      </c>
      <c r="K12" s="19">
        <v>14</v>
      </c>
      <c r="L12" s="19">
        <v>14</v>
      </c>
      <c r="M12" s="19">
        <v>14</v>
      </c>
      <c r="N12" s="19">
        <v>14</v>
      </c>
      <c r="O12" s="96">
        <f t="shared" si="2"/>
        <v>168</v>
      </c>
    </row>
    <row r="13" spans="1:15" x14ac:dyDescent="0.3">
      <c r="A13" s="18" t="s">
        <v>62</v>
      </c>
      <c r="B13" s="4" t="s">
        <v>78</v>
      </c>
      <c r="C13" s="19">
        <v>50</v>
      </c>
      <c r="D13" s="19">
        <v>50</v>
      </c>
      <c r="E13" s="19">
        <v>50</v>
      </c>
      <c r="F13" s="19">
        <v>50</v>
      </c>
      <c r="G13" s="19">
        <v>50</v>
      </c>
      <c r="H13" s="19">
        <v>50</v>
      </c>
      <c r="I13" s="19">
        <v>50</v>
      </c>
      <c r="J13" s="19">
        <v>50</v>
      </c>
      <c r="K13" s="19">
        <v>50</v>
      </c>
      <c r="L13" s="19">
        <v>50</v>
      </c>
      <c r="M13" s="19">
        <v>50</v>
      </c>
      <c r="N13" s="19">
        <v>50</v>
      </c>
      <c r="O13" s="96">
        <f t="shared" si="2"/>
        <v>600</v>
      </c>
    </row>
    <row r="14" spans="1:15" x14ac:dyDescent="0.3">
      <c r="A14" s="18" t="s">
        <v>63</v>
      </c>
      <c r="B14" s="4" t="s">
        <v>86</v>
      </c>
      <c r="C14" s="19">
        <v>18</v>
      </c>
      <c r="D14" s="19">
        <v>18</v>
      </c>
      <c r="E14" s="19">
        <v>18</v>
      </c>
      <c r="F14" s="19">
        <v>18</v>
      </c>
      <c r="G14" s="19">
        <v>18</v>
      </c>
      <c r="H14" s="19">
        <v>18</v>
      </c>
      <c r="I14" s="19">
        <v>18</v>
      </c>
      <c r="J14" s="19">
        <v>18</v>
      </c>
      <c r="K14" s="19">
        <v>18</v>
      </c>
      <c r="L14" s="19">
        <v>18</v>
      </c>
      <c r="M14" s="19">
        <v>18</v>
      </c>
      <c r="N14" s="19">
        <v>18</v>
      </c>
      <c r="O14" s="96">
        <f t="shared" si="2"/>
        <v>216</v>
      </c>
    </row>
    <row r="15" spans="1:15" x14ac:dyDescent="0.3">
      <c r="A15" s="18" t="s">
        <v>64</v>
      </c>
      <c r="B15" s="4" t="s">
        <v>77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40</v>
      </c>
      <c r="M15" s="19">
        <v>40</v>
      </c>
      <c r="N15" s="19">
        <v>40</v>
      </c>
      <c r="O15" s="96">
        <f t="shared" si="2"/>
        <v>120</v>
      </c>
    </row>
    <row r="16" spans="1:15" x14ac:dyDescent="0.3">
      <c r="A16" s="18" t="s">
        <v>65</v>
      </c>
      <c r="B16" s="4" t="s">
        <v>13</v>
      </c>
      <c r="C16" s="19">
        <v>120</v>
      </c>
      <c r="D16" s="19">
        <v>120</v>
      </c>
      <c r="E16" s="19">
        <v>120</v>
      </c>
      <c r="F16" s="19">
        <v>120</v>
      </c>
      <c r="G16" s="19">
        <v>120</v>
      </c>
      <c r="H16" s="19">
        <v>120</v>
      </c>
      <c r="I16" s="19">
        <v>120</v>
      </c>
      <c r="J16" s="19">
        <v>120</v>
      </c>
      <c r="K16" s="19">
        <v>120</v>
      </c>
      <c r="L16" s="19">
        <v>120</v>
      </c>
      <c r="M16" s="19">
        <v>120</v>
      </c>
      <c r="N16" s="19">
        <v>120</v>
      </c>
      <c r="O16" s="96">
        <f t="shared" si="2"/>
        <v>1440</v>
      </c>
    </row>
    <row r="17" spans="1:15" x14ac:dyDescent="0.3">
      <c r="A17" s="18" t="s">
        <v>66</v>
      </c>
      <c r="B17" s="4" t="s">
        <v>87</v>
      </c>
      <c r="C17" s="19">
        <v>60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96">
        <f t="shared" si="2"/>
        <v>60</v>
      </c>
    </row>
    <row r="18" spans="1:15" x14ac:dyDescent="0.3">
      <c r="A18" s="18" t="s">
        <v>67</v>
      </c>
      <c r="B18" s="4" t="s">
        <v>101</v>
      </c>
      <c r="C18" s="19">
        <v>0</v>
      </c>
      <c r="D18" s="19">
        <v>1.25</v>
      </c>
      <c r="E18" s="19">
        <v>1.25</v>
      </c>
      <c r="F18" s="19">
        <v>1.25</v>
      </c>
      <c r="G18" s="19">
        <v>1.25</v>
      </c>
      <c r="H18" s="19">
        <v>1.25</v>
      </c>
      <c r="I18" s="19">
        <v>1.25</v>
      </c>
      <c r="J18" s="19">
        <v>1.25</v>
      </c>
      <c r="K18" s="19">
        <v>1.25</v>
      </c>
      <c r="L18" s="19">
        <v>1.25</v>
      </c>
      <c r="M18" s="19">
        <v>1.25</v>
      </c>
      <c r="N18" s="19">
        <v>1.25</v>
      </c>
      <c r="O18" s="96">
        <f t="shared" si="2"/>
        <v>13.75</v>
      </c>
    </row>
    <row r="19" spans="1:15" x14ac:dyDescent="0.3">
      <c r="A19" s="18" t="s">
        <v>68</v>
      </c>
      <c r="B19" s="10" t="s">
        <v>14</v>
      </c>
      <c r="C19" s="19">
        <v>3</v>
      </c>
      <c r="D19" s="19">
        <v>3</v>
      </c>
      <c r="E19" s="19">
        <v>3</v>
      </c>
      <c r="F19" s="19">
        <v>3</v>
      </c>
      <c r="G19" s="19">
        <v>3</v>
      </c>
      <c r="H19" s="19">
        <v>3</v>
      </c>
      <c r="I19" s="19">
        <v>3</v>
      </c>
      <c r="J19" s="19">
        <v>3</v>
      </c>
      <c r="K19" s="19">
        <v>3</v>
      </c>
      <c r="L19" s="19">
        <v>3</v>
      </c>
      <c r="M19" s="19">
        <v>3</v>
      </c>
      <c r="N19" s="19">
        <v>3</v>
      </c>
      <c r="O19" s="96">
        <f t="shared" si="2"/>
        <v>36</v>
      </c>
    </row>
    <row r="20" spans="1:15" x14ac:dyDescent="0.3">
      <c r="A20" s="97" t="s">
        <v>74</v>
      </c>
      <c r="B20" s="98" t="s">
        <v>196</v>
      </c>
      <c r="C20" s="99">
        <f t="shared" ref="C20:O20" si="4">C4-C7</f>
        <v>194.69600000000003</v>
      </c>
      <c r="D20" s="99">
        <f t="shared" si="4"/>
        <v>-206.25</v>
      </c>
      <c r="E20" s="99">
        <f t="shared" si="4"/>
        <v>-206.25</v>
      </c>
      <c r="F20" s="99">
        <f t="shared" si="4"/>
        <v>-206.25</v>
      </c>
      <c r="G20" s="99">
        <f t="shared" si="4"/>
        <v>-206.25</v>
      </c>
      <c r="H20" s="99">
        <f t="shared" si="4"/>
        <v>-206.25</v>
      </c>
      <c r="I20" s="99">
        <f t="shared" si="4"/>
        <v>2293.75</v>
      </c>
      <c r="J20" s="99">
        <f t="shared" si="4"/>
        <v>-206.25</v>
      </c>
      <c r="K20" s="99">
        <f t="shared" si="4"/>
        <v>-206.25</v>
      </c>
      <c r="L20" s="99">
        <f t="shared" si="4"/>
        <v>-246.25</v>
      </c>
      <c r="M20" s="99">
        <f t="shared" si="4"/>
        <v>-246.25</v>
      </c>
      <c r="N20" s="99">
        <f t="shared" si="4"/>
        <v>-246.25</v>
      </c>
      <c r="O20" s="96">
        <f t="shared" si="4"/>
        <v>305.94599999999991</v>
      </c>
    </row>
    <row r="21" spans="1:15" x14ac:dyDescent="0.3">
      <c r="A21" s="97" t="s">
        <v>75</v>
      </c>
      <c r="B21" s="98" t="s">
        <v>76</v>
      </c>
      <c r="C21" s="99">
        <f>C20</f>
        <v>194.69600000000003</v>
      </c>
      <c r="D21" s="99">
        <f>C21+D20</f>
        <v>-11.553999999999974</v>
      </c>
      <c r="E21" s="99">
        <f t="shared" ref="E21:N21" si="5">D21+E20</f>
        <v>-217.80399999999997</v>
      </c>
      <c r="F21" s="99">
        <f t="shared" si="5"/>
        <v>-424.05399999999997</v>
      </c>
      <c r="G21" s="99">
        <f t="shared" si="5"/>
        <v>-630.30399999999997</v>
      </c>
      <c r="H21" s="99">
        <f t="shared" si="5"/>
        <v>-836.55399999999997</v>
      </c>
      <c r="I21" s="99">
        <f t="shared" si="5"/>
        <v>1457.1959999999999</v>
      </c>
      <c r="J21" s="99">
        <f t="shared" si="5"/>
        <v>1250.9459999999999</v>
      </c>
      <c r="K21" s="99">
        <f t="shared" si="5"/>
        <v>1044.6959999999999</v>
      </c>
      <c r="L21" s="99">
        <f t="shared" si="5"/>
        <v>798.44599999999991</v>
      </c>
      <c r="M21" s="99">
        <f t="shared" si="5"/>
        <v>552.19599999999991</v>
      </c>
      <c r="N21" s="99">
        <f t="shared" si="5"/>
        <v>305.94599999999991</v>
      </c>
      <c r="O21" s="96" t="s">
        <v>203</v>
      </c>
    </row>
    <row r="24" spans="1:15" x14ac:dyDescent="0.3">
      <c r="A24" t="s">
        <v>198</v>
      </c>
      <c r="D24" s="95" t="s">
        <v>5</v>
      </c>
    </row>
    <row r="25" spans="1:15" x14ac:dyDescent="0.3">
      <c r="A25" s="147" t="s">
        <v>0</v>
      </c>
      <c r="B25" s="147" t="s">
        <v>37</v>
      </c>
      <c r="C25" s="144" t="s">
        <v>199</v>
      </c>
      <c r="D25" s="145"/>
      <c r="E25" s="145"/>
      <c r="F25" s="146"/>
      <c r="G25" s="142" t="s">
        <v>30</v>
      </c>
    </row>
    <row r="26" spans="1:15" x14ac:dyDescent="0.3">
      <c r="A26" s="147"/>
      <c r="B26" s="147"/>
      <c r="C26" s="11" t="s">
        <v>31</v>
      </c>
      <c r="D26" s="11" t="s">
        <v>32</v>
      </c>
      <c r="E26" s="11" t="s">
        <v>33</v>
      </c>
      <c r="F26" s="11" t="s">
        <v>34</v>
      </c>
      <c r="G26" s="143"/>
    </row>
    <row r="27" spans="1:15" x14ac:dyDescent="0.3">
      <c r="A27" s="100">
        <v>1</v>
      </c>
      <c r="B27" s="98" t="s">
        <v>41</v>
      </c>
      <c r="C27" s="99">
        <f>SUM(C28:C28)</f>
        <v>3000</v>
      </c>
      <c r="D27" s="99">
        <f>SUM(D28:D28)</f>
        <v>1000</v>
      </c>
      <c r="E27" s="99">
        <f>SUM(E28:E28)</f>
        <v>3000</v>
      </c>
      <c r="F27" s="99">
        <f>SUM(F28:F28)</f>
        <v>1000</v>
      </c>
      <c r="G27" s="96">
        <f>SUM(C27:F27)</f>
        <v>8000</v>
      </c>
    </row>
    <row r="28" spans="1:15" x14ac:dyDescent="0.3">
      <c r="A28" s="17" t="s">
        <v>72</v>
      </c>
      <c r="B28" s="10" t="s">
        <v>44</v>
      </c>
      <c r="C28" s="19">
        <f>3000</f>
        <v>3000</v>
      </c>
      <c r="D28" s="19">
        <v>1000</v>
      </c>
      <c r="E28" s="19">
        <v>3000</v>
      </c>
      <c r="F28" s="19">
        <v>1000</v>
      </c>
      <c r="G28" s="96">
        <f>SUM(C28:F28)</f>
        <v>8000</v>
      </c>
    </row>
    <row r="29" spans="1:15" x14ac:dyDescent="0.3">
      <c r="A29" s="100">
        <v>2</v>
      </c>
      <c r="B29" s="98" t="s">
        <v>42</v>
      </c>
      <c r="C29" s="99">
        <f>C30+C45</f>
        <v>1532.2939999999999</v>
      </c>
      <c r="D29" s="99">
        <f t="shared" ref="D29:F29" si="6">D30+D45</f>
        <v>1442.96666</v>
      </c>
      <c r="E29" s="99">
        <f t="shared" si="6"/>
        <v>1442.96666</v>
      </c>
      <c r="F29" s="99">
        <f t="shared" si="6"/>
        <v>1442.96666</v>
      </c>
      <c r="G29" s="96">
        <f>SUM(C29:F29)</f>
        <v>5861.19398</v>
      </c>
    </row>
    <row r="30" spans="1:15" x14ac:dyDescent="0.3">
      <c r="A30" s="101" t="s">
        <v>57</v>
      </c>
      <c r="B30" s="102" t="s">
        <v>70</v>
      </c>
      <c r="C30" s="103">
        <f>SUM(C31:C44)</f>
        <v>983.54399999999998</v>
      </c>
      <c r="D30" s="103">
        <f t="shared" ref="D30:F30" si="7">SUM(D31:D44)</f>
        <v>894.21666000000005</v>
      </c>
      <c r="E30" s="103">
        <f t="shared" si="7"/>
        <v>894.21666000000005</v>
      </c>
      <c r="F30" s="103">
        <f t="shared" si="7"/>
        <v>894.21666000000005</v>
      </c>
      <c r="G30" s="96">
        <f>SUM(C30:F30)</f>
        <v>3666.19398</v>
      </c>
    </row>
    <row r="31" spans="1:15" x14ac:dyDescent="0.3">
      <c r="A31" s="18" t="s">
        <v>58</v>
      </c>
      <c r="B31" s="4" t="s">
        <v>13</v>
      </c>
      <c r="C31" s="19">
        <f>(60000*3)/1000</f>
        <v>180</v>
      </c>
      <c r="D31" s="19">
        <f t="shared" ref="D31:F31" si="8">(60000*3)/1000</f>
        <v>180</v>
      </c>
      <c r="E31" s="19">
        <f t="shared" si="8"/>
        <v>180</v>
      </c>
      <c r="F31" s="19">
        <f t="shared" si="8"/>
        <v>180</v>
      </c>
      <c r="G31" s="96">
        <f t="shared" ref="G31:G44" si="9">SUM(C31:F31)</f>
        <v>720</v>
      </c>
    </row>
    <row r="32" spans="1:15" x14ac:dyDescent="0.3">
      <c r="A32" s="18" t="s">
        <v>59</v>
      </c>
      <c r="B32" s="4" t="s">
        <v>86</v>
      </c>
      <c r="C32" s="19">
        <f>18000*3/1000</f>
        <v>54</v>
      </c>
      <c r="D32" s="19">
        <f t="shared" ref="D32:F32" si="10">18000*3/1000</f>
        <v>54</v>
      </c>
      <c r="E32" s="19">
        <f t="shared" si="10"/>
        <v>54</v>
      </c>
      <c r="F32" s="19">
        <f t="shared" si="10"/>
        <v>54</v>
      </c>
      <c r="G32" s="96">
        <f t="shared" si="9"/>
        <v>216</v>
      </c>
    </row>
    <row r="33" spans="1:7" x14ac:dyDescent="0.3">
      <c r="A33" s="18" t="s">
        <v>60</v>
      </c>
      <c r="B33" s="4" t="s">
        <v>78</v>
      </c>
      <c r="C33" s="19">
        <f>50000*3/1000</f>
        <v>150</v>
      </c>
      <c r="D33" s="19">
        <f t="shared" ref="D33:F33" si="11">50000*3/1000</f>
        <v>150</v>
      </c>
      <c r="E33" s="19">
        <f t="shared" si="11"/>
        <v>150</v>
      </c>
      <c r="F33" s="19">
        <f t="shared" si="11"/>
        <v>150</v>
      </c>
      <c r="G33" s="96">
        <f t="shared" si="9"/>
        <v>600</v>
      </c>
    </row>
    <row r="34" spans="1:7" x14ac:dyDescent="0.3">
      <c r="A34" s="18" t="s">
        <v>61</v>
      </c>
      <c r="B34" s="4" t="s">
        <v>101</v>
      </c>
      <c r="C34" s="19">
        <f>1.25+2.22+2.22</f>
        <v>5.69</v>
      </c>
      <c r="D34" s="19">
        <f>2222.22*3/1000</f>
        <v>6.6666600000000003</v>
      </c>
      <c r="E34" s="19">
        <f t="shared" ref="E34:F34" si="12">2222.22*3/1000</f>
        <v>6.6666600000000003</v>
      </c>
      <c r="F34" s="19">
        <f t="shared" si="12"/>
        <v>6.6666600000000003</v>
      </c>
      <c r="G34" s="96">
        <f t="shared" si="9"/>
        <v>25.689980000000002</v>
      </c>
    </row>
    <row r="35" spans="1:7" x14ac:dyDescent="0.3">
      <c r="A35" s="18" t="s">
        <v>62</v>
      </c>
      <c r="B35" s="4" t="s">
        <v>87</v>
      </c>
      <c r="C35" s="19">
        <v>70</v>
      </c>
      <c r="D35" s="19">
        <v>0</v>
      </c>
      <c r="E35" s="19">
        <v>0</v>
      </c>
      <c r="F35" s="19">
        <v>0</v>
      </c>
      <c r="G35" s="96">
        <f t="shared" si="9"/>
        <v>70</v>
      </c>
    </row>
    <row r="36" spans="1:7" x14ac:dyDescent="0.3">
      <c r="A36" s="18" t="s">
        <v>63</v>
      </c>
      <c r="B36" s="4" t="s">
        <v>16</v>
      </c>
      <c r="C36" s="19">
        <v>33.33</v>
      </c>
      <c r="D36" s="19">
        <v>33.33</v>
      </c>
      <c r="E36" s="19">
        <v>33.33</v>
      </c>
      <c r="F36" s="19">
        <v>33.33</v>
      </c>
      <c r="G36" s="96">
        <f t="shared" si="9"/>
        <v>133.32</v>
      </c>
    </row>
    <row r="37" spans="1:7" x14ac:dyDescent="0.3">
      <c r="A37" s="18" t="s">
        <v>64</v>
      </c>
      <c r="B37" s="4" t="s">
        <v>19</v>
      </c>
      <c r="C37" s="19">
        <f>4166.67/1000*3</f>
        <v>12.50001</v>
      </c>
      <c r="D37" s="19">
        <f t="shared" ref="D37:F37" si="13">4166.67/1000*3</f>
        <v>12.50001</v>
      </c>
      <c r="E37" s="19">
        <f t="shared" si="13"/>
        <v>12.50001</v>
      </c>
      <c r="F37" s="19">
        <f t="shared" si="13"/>
        <v>12.50001</v>
      </c>
      <c r="G37" s="96">
        <f t="shared" si="9"/>
        <v>50.000039999999998</v>
      </c>
    </row>
    <row r="38" spans="1:7" x14ac:dyDescent="0.3">
      <c r="A38" s="18" t="s">
        <v>65</v>
      </c>
      <c r="B38" s="4" t="s">
        <v>102</v>
      </c>
      <c r="C38" s="19">
        <f>35000*3/1000</f>
        <v>105</v>
      </c>
      <c r="D38" s="19">
        <f t="shared" ref="D38:F38" si="14">35000*3/1000</f>
        <v>105</v>
      </c>
      <c r="E38" s="19">
        <f t="shared" si="14"/>
        <v>105</v>
      </c>
      <c r="F38" s="19">
        <f t="shared" si="14"/>
        <v>105</v>
      </c>
      <c r="G38" s="96">
        <f t="shared" si="9"/>
        <v>420</v>
      </c>
    </row>
    <row r="39" spans="1:7" ht="28.8" x14ac:dyDescent="0.3">
      <c r="A39" s="18" t="s">
        <v>66</v>
      </c>
      <c r="B39" s="4" t="s">
        <v>100</v>
      </c>
      <c r="C39" s="19">
        <f>33333.33/1000*3</f>
        <v>99.999990000000011</v>
      </c>
      <c r="D39" s="19">
        <f t="shared" ref="D39:F39" si="15">33333.33/1000*3</f>
        <v>99.999990000000011</v>
      </c>
      <c r="E39" s="19">
        <f t="shared" si="15"/>
        <v>99.999990000000011</v>
      </c>
      <c r="F39" s="19">
        <f t="shared" si="15"/>
        <v>99.999990000000011</v>
      </c>
      <c r="G39" s="96">
        <f t="shared" si="9"/>
        <v>399.99996000000004</v>
      </c>
    </row>
    <row r="40" spans="1:7" x14ac:dyDescent="0.3">
      <c r="A40" s="18" t="s">
        <v>67</v>
      </c>
      <c r="B40" s="4" t="s">
        <v>14</v>
      </c>
      <c r="C40" s="19">
        <v>9</v>
      </c>
      <c r="D40" s="19">
        <v>9</v>
      </c>
      <c r="E40" s="19">
        <v>9</v>
      </c>
      <c r="F40" s="19">
        <v>9</v>
      </c>
      <c r="G40" s="96">
        <f t="shared" si="9"/>
        <v>36</v>
      </c>
    </row>
    <row r="41" spans="1:7" ht="28.8" x14ac:dyDescent="0.3">
      <c r="A41" s="18" t="s">
        <v>68</v>
      </c>
      <c r="B41" s="4" t="s">
        <v>106</v>
      </c>
      <c r="C41" s="19">
        <f>25*3</f>
        <v>75</v>
      </c>
      <c r="D41" s="19">
        <f t="shared" ref="D41:F41" si="16">25*3</f>
        <v>75</v>
      </c>
      <c r="E41" s="19">
        <f t="shared" si="16"/>
        <v>75</v>
      </c>
      <c r="F41" s="19">
        <f t="shared" si="16"/>
        <v>75</v>
      </c>
      <c r="G41" s="96">
        <f t="shared" si="9"/>
        <v>300</v>
      </c>
    </row>
    <row r="42" spans="1:7" x14ac:dyDescent="0.3">
      <c r="A42" s="18" t="s">
        <v>200</v>
      </c>
      <c r="B42" s="4" t="s">
        <v>21</v>
      </c>
      <c r="C42" s="19">
        <f>42240/1000*3</f>
        <v>126.72</v>
      </c>
      <c r="D42" s="19">
        <f t="shared" ref="D42:F42" si="17">42240/1000*3</f>
        <v>126.72</v>
      </c>
      <c r="E42" s="19">
        <f t="shared" si="17"/>
        <v>126.72</v>
      </c>
      <c r="F42" s="19">
        <f t="shared" si="17"/>
        <v>126.72</v>
      </c>
      <c r="G42" s="96">
        <f t="shared" si="9"/>
        <v>506.88</v>
      </c>
    </row>
    <row r="43" spans="1:7" x14ac:dyDescent="0.3">
      <c r="A43" s="18" t="s">
        <v>201</v>
      </c>
      <c r="B43" s="4" t="s">
        <v>103</v>
      </c>
      <c r="C43" s="19">
        <f>14*3</f>
        <v>42</v>
      </c>
      <c r="D43" s="19">
        <f t="shared" ref="D43:F43" si="18">14*3</f>
        <v>42</v>
      </c>
      <c r="E43" s="19">
        <f t="shared" si="18"/>
        <v>42</v>
      </c>
      <c r="F43" s="19">
        <f t="shared" si="18"/>
        <v>42</v>
      </c>
      <c r="G43" s="96">
        <f t="shared" si="9"/>
        <v>168</v>
      </c>
    </row>
    <row r="44" spans="1:7" x14ac:dyDescent="0.3">
      <c r="A44" s="18" t="s">
        <v>202</v>
      </c>
      <c r="B44" s="4" t="s">
        <v>105</v>
      </c>
      <c r="C44" s="19">
        <f>20304/1000</f>
        <v>20.303999999999998</v>
      </c>
      <c r="D44" s="19">
        <v>0</v>
      </c>
      <c r="E44" s="19">
        <v>0</v>
      </c>
      <c r="F44" s="19">
        <v>0</v>
      </c>
      <c r="G44" s="96">
        <f t="shared" si="9"/>
        <v>20.303999999999998</v>
      </c>
    </row>
    <row r="45" spans="1:7" x14ac:dyDescent="0.3">
      <c r="A45" s="101" t="s">
        <v>69</v>
      </c>
      <c r="B45" s="102" t="s">
        <v>71</v>
      </c>
      <c r="C45" s="103">
        <f>SUM(C46:C58)</f>
        <v>548.75</v>
      </c>
      <c r="D45" s="103">
        <f t="shared" ref="D45:F45" si="19">SUM(D46:D58)</f>
        <v>548.75</v>
      </c>
      <c r="E45" s="103">
        <f t="shared" si="19"/>
        <v>548.75</v>
      </c>
      <c r="F45" s="103">
        <f t="shared" si="19"/>
        <v>548.75</v>
      </c>
      <c r="G45" s="96">
        <f t="shared" ref="G45:G50" si="20">SUM(C45:F45)</f>
        <v>2195</v>
      </c>
    </row>
    <row r="46" spans="1:7" x14ac:dyDescent="0.3">
      <c r="A46" s="18" t="s">
        <v>59</v>
      </c>
      <c r="B46" s="1" t="s">
        <v>109</v>
      </c>
      <c r="C46" s="19">
        <f>36000/1000/4</f>
        <v>9</v>
      </c>
      <c r="D46" s="19">
        <f t="shared" ref="D46:F46" si="21">36000/1000/4</f>
        <v>9</v>
      </c>
      <c r="E46" s="19">
        <f t="shared" si="21"/>
        <v>9</v>
      </c>
      <c r="F46" s="19">
        <f t="shared" si="21"/>
        <v>9</v>
      </c>
      <c r="G46" s="96">
        <f t="shared" si="20"/>
        <v>36</v>
      </c>
    </row>
    <row r="47" spans="1:7" x14ac:dyDescent="0.3">
      <c r="A47" s="18" t="s">
        <v>60</v>
      </c>
      <c r="B47" s="1" t="s">
        <v>110</v>
      </c>
      <c r="C47" s="19">
        <f>150000/4/1000</f>
        <v>37.5</v>
      </c>
      <c r="D47" s="19">
        <f t="shared" ref="D47:F47" si="22">150000/4/1000</f>
        <v>37.5</v>
      </c>
      <c r="E47" s="19">
        <f t="shared" si="22"/>
        <v>37.5</v>
      </c>
      <c r="F47" s="19">
        <f t="shared" si="22"/>
        <v>37.5</v>
      </c>
      <c r="G47" s="96">
        <f t="shared" si="20"/>
        <v>150</v>
      </c>
    </row>
    <row r="48" spans="1:7" ht="28.8" x14ac:dyDescent="0.3">
      <c r="A48" s="18" t="s">
        <v>61</v>
      </c>
      <c r="B48" s="45" t="s">
        <v>111</v>
      </c>
      <c r="C48" s="19">
        <f>50000/1000/4</f>
        <v>12.5</v>
      </c>
      <c r="D48" s="19">
        <f t="shared" ref="D48:F48" si="23">50000/1000/4</f>
        <v>12.5</v>
      </c>
      <c r="E48" s="19">
        <f t="shared" si="23"/>
        <v>12.5</v>
      </c>
      <c r="F48" s="19">
        <f t="shared" si="23"/>
        <v>12.5</v>
      </c>
      <c r="G48" s="96">
        <f t="shared" si="20"/>
        <v>50</v>
      </c>
    </row>
    <row r="49" spans="1:7" x14ac:dyDescent="0.3">
      <c r="A49" s="18" t="s">
        <v>62</v>
      </c>
      <c r="B49" s="1" t="s">
        <v>112</v>
      </c>
      <c r="C49" s="19">
        <f>900000/1000/4</f>
        <v>225</v>
      </c>
      <c r="D49" s="19">
        <f t="shared" ref="D49:F49" si="24">900000/1000/4</f>
        <v>225</v>
      </c>
      <c r="E49" s="19">
        <f t="shared" si="24"/>
        <v>225</v>
      </c>
      <c r="F49" s="19">
        <f t="shared" si="24"/>
        <v>225</v>
      </c>
      <c r="G49" s="96">
        <f t="shared" si="20"/>
        <v>900</v>
      </c>
    </row>
    <row r="50" spans="1:7" x14ac:dyDescent="0.3">
      <c r="A50" s="18" t="s">
        <v>63</v>
      </c>
      <c r="B50" s="1" t="s">
        <v>77</v>
      </c>
      <c r="C50" s="19">
        <f>87000/1000/4</f>
        <v>21.75</v>
      </c>
      <c r="D50" s="19">
        <f t="shared" ref="D50:F50" si="25">87000/1000/4</f>
        <v>21.75</v>
      </c>
      <c r="E50" s="19">
        <f t="shared" si="25"/>
        <v>21.75</v>
      </c>
      <c r="F50" s="19">
        <f t="shared" si="25"/>
        <v>21.75</v>
      </c>
      <c r="G50" s="96">
        <f t="shared" si="20"/>
        <v>87</v>
      </c>
    </row>
    <row r="51" spans="1:7" x14ac:dyDescent="0.3">
      <c r="A51" s="18" t="s">
        <v>64</v>
      </c>
      <c r="B51" s="1" t="s">
        <v>80</v>
      </c>
      <c r="C51" s="19">
        <f>30000/1000/4</f>
        <v>7.5</v>
      </c>
      <c r="D51" s="19">
        <f t="shared" ref="D51:F51" si="26">30000/1000/4</f>
        <v>7.5</v>
      </c>
      <c r="E51" s="19">
        <f t="shared" si="26"/>
        <v>7.5</v>
      </c>
      <c r="F51" s="19">
        <f t="shared" si="26"/>
        <v>7.5</v>
      </c>
      <c r="G51" s="96"/>
    </row>
    <row r="52" spans="1:7" x14ac:dyDescent="0.3">
      <c r="A52" s="18" t="s">
        <v>65</v>
      </c>
      <c r="B52" s="1" t="s">
        <v>81</v>
      </c>
      <c r="C52" s="19">
        <f>25000/1000/4</f>
        <v>6.25</v>
      </c>
      <c r="D52" s="19">
        <f t="shared" ref="D52:F52" si="27">25000/1000/4</f>
        <v>6.25</v>
      </c>
      <c r="E52" s="19">
        <f t="shared" si="27"/>
        <v>6.25</v>
      </c>
      <c r="F52" s="19">
        <f t="shared" si="27"/>
        <v>6.25</v>
      </c>
      <c r="G52" s="96">
        <f>SUM(C52:F52)</f>
        <v>25</v>
      </c>
    </row>
    <row r="53" spans="1:7" x14ac:dyDescent="0.3">
      <c r="A53" s="18" t="s">
        <v>66</v>
      </c>
      <c r="B53" s="1" t="s">
        <v>83</v>
      </c>
      <c r="C53" s="19">
        <f>50/4</f>
        <v>12.5</v>
      </c>
      <c r="D53" s="19">
        <f t="shared" ref="D53:F53" si="28">50/4</f>
        <v>12.5</v>
      </c>
      <c r="E53" s="19">
        <f t="shared" si="28"/>
        <v>12.5</v>
      </c>
      <c r="F53" s="19">
        <f t="shared" si="28"/>
        <v>12.5</v>
      </c>
      <c r="G53" s="96">
        <f>SUM(C53:F53)</f>
        <v>50</v>
      </c>
    </row>
    <row r="54" spans="1:7" x14ac:dyDescent="0.3">
      <c r="A54" s="18" t="s">
        <v>67</v>
      </c>
      <c r="B54" s="1" t="s">
        <v>82</v>
      </c>
      <c r="C54" s="19">
        <f>25/4</f>
        <v>6.25</v>
      </c>
      <c r="D54" s="19">
        <f t="shared" ref="D54:F54" si="29">25/4</f>
        <v>6.25</v>
      </c>
      <c r="E54" s="19">
        <f t="shared" si="29"/>
        <v>6.25</v>
      </c>
      <c r="F54" s="19">
        <f t="shared" si="29"/>
        <v>6.25</v>
      </c>
      <c r="G54" s="96">
        <f>SUM(C54:F54)</f>
        <v>25</v>
      </c>
    </row>
    <row r="55" spans="1:7" x14ac:dyDescent="0.3">
      <c r="A55" s="18" t="s">
        <v>68</v>
      </c>
      <c r="B55" s="1" t="s">
        <v>113</v>
      </c>
      <c r="C55" s="19">
        <f>30/4</f>
        <v>7.5</v>
      </c>
      <c r="D55" s="19">
        <f t="shared" ref="D55:F55" si="30">30/4</f>
        <v>7.5</v>
      </c>
      <c r="E55" s="19">
        <f t="shared" si="30"/>
        <v>7.5</v>
      </c>
      <c r="F55" s="19">
        <f t="shared" si="30"/>
        <v>7.5</v>
      </c>
      <c r="G55" s="96"/>
    </row>
    <row r="56" spans="1:7" x14ac:dyDescent="0.3">
      <c r="A56" s="18" t="s">
        <v>200</v>
      </c>
      <c r="B56" s="1" t="s">
        <v>115</v>
      </c>
      <c r="C56" s="19">
        <f>12/4</f>
        <v>3</v>
      </c>
      <c r="D56" s="19">
        <f t="shared" ref="D56:F56" si="31">12/4</f>
        <v>3</v>
      </c>
      <c r="E56" s="19">
        <f t="shared" si="31"/>
        <v>3</v>
      </c>
      <c r="F56" s="19">
        <f t="shared" si="31"/>
        <v>3</v>
      </c>
      <c r="G56" s="96"/>
    </row>
    <row r="57" spans="1:7" x14ac:dyDescent="0.3">
      <c r="A57" s="18" t="s">
        <v>201</v>
      </c>
      <c r="B57" s="1" t="s">
        <v>114</v>
      </c>
      <c r="C57" s="19">
        <f>500/4</f>
        <v>125</v>
      </c>
      <c r="D57" s="19">
        <f t="shared" ref="D57:F57" si="32">500/4</f>
        <v>125</v>
      </c>
      <c r="E57" s="19">
        <f t="shared" si="32"/>
        <v>125</v>
      </c>
      <c r="F57" s="19">
        <f t="shared" si="32"/>
        <v>125</v>
      </c>
      <c r="G57" s="96">
        <f>SUM(C57:F57)</f>
        <v>500</v>
      </c>
    </row>
    <row r="58" spans="1:7" x14ac:dyDescent="0.3">
      <c r="A58" s="18" t="s">
        <v>202</v>
      </c>
      <c r="B58" s="57" t="s">
        <v>138</v>
      </c>
      <c r="C58" s="19">
        <f>300/4</f>
        <v>75</v>
      </c>
      <c r="D58" s="19">
        <f t="shared" ref="D58:F58" si="33">300/4</f>
        <v>75</v>
      </c>
      <c r="E58" s="19">
        <f t="shared" si="33"/>
        <v>75</v>
      </c>
      <c r="F58" s="19">
        <f t="shared" si="33"/>
        <v>75</v>
      </c>
      <c r="G58" s="96">
        <f>SUM(C58:F58)</f>
        <v>300</v>
      </c>
    </row>
    <row r="59" spans="1:7" x14ac:dyDescent="0.3">
      <c r="A59" s="97" t="s">
        <v>74</v>
      </c>
      <c r="B59" s="98" t="s">
        <v>196</v>
      </c>
      <c r="C59" s="99">
        <f>C27-C29</f>
        <v>1467.7060000000001</v>
      </c>
      <c r="D59" s="99">
        <f>D27-D29</f>
        <v>-442.96666000000005</v>
      </c>
      <c r="E59" s="99">
        <f>E27-E29</f>
        <v>1557.03334</v>
      </c>
      <c r="F59" s="99">
        <f>F27-F29</f>
        <v>-442.96666000000005</v>
      </c>
      <c r="G59" s="96">
        <f>G27-G29</f>
        <v>2138.80602</v>
      </c>
    </row>
    <row r="60" spans="1:7" x14ac:dyDescent="0.3">
      <c r="A60" s="97" t="s">
        <v>75</v>
      </c>
      <c r="B60" s="98" t="s">
        <v>76</v>
      </c>
      <c r="C60" s="99">
        <f>C59</f>
        <v>1467.7060000000001</v>
      </c>
      <c r="D60" s="99">
        <f>C60+D59</f>
        <v>1024.7393400000001</v>
      </c>
      <c r="E60" s="99">
        <f t="shared" ref="E60" si="34">D60+E59</f>
        <v>2581.77268</v>
      </c>
      <c r="F60" s="99">
        <f>E60+F59</f>
        <v>2138.80602</v>
      </c>
      <c r="G60" s="96" t="s">
        <v>203</v>
      </c>
    </row>
    <row r="63" spans="1:7" x14ac:dyDescent="0.3">
      <c r="A63" t="s">
        <v>204</v>
      </c>
      <c r="D63" s="95" t="s">
        <v>5</v>
      </c>
    </row>
    <row r="64" spans="1:7" x14ac:dyDescent="0.3">
      <c r="A64" s="147" t="s">
        <v>0</v>
      </c>
      <c r="B64" s="147" t="s">
        <v>37</v>
      </c>
      <c r="C64" s="144" t="s">
        <v>206</v>
      </c>
      <c r="D64" s="145"/>
      <c r="E64" s="145"/>
      <c r="F64" s="146"/>
      <c r="G64" s="142" t="s">
        <v>30</v>
      </c>
    </row>
    <row r="65" spans="1:7" x14ac:dyDescent="0.3">
      <c r="A65" s="147"/>
      <c r="B65" s="147"/>
      <c r="C65" s="11" t="s">
        <v>31</v>
      </c>
      <c r="D65" s="11" t="s">
        <v>32</v>
      </c>
      <c r="E65" s="11" t="s">
        <v>33</v>
      </c>
      <c r="F65" s="11" t="s">
        <v>34</v>
      </c>
      <c r="G65" s="143"/>
    </row>
    <row r="66" spans="1:7" x14ac:dyDescent="0.3">
      <c r="A66" s="100">
        <v>1</v>
      </c>
      <c r="B66" s="98" t="s">
        <v>41</v>
      </c>
      <c r="C66" s="99">
        <f>SUM(C67:C67)</f>
        <v>3000</v>
      </c>
      <c r="D66" s="99">
        <f>SUM(D67:D67)</f>
        <v>1000</v>
      </c>
      <c r="E66" s="99">
        <f>SUM(E67:E67)</f>
        <v>1000</v>
      </c>
      <c r="F66" s="99">
        <f>SUM(F67:F67)</f>
        <v>3500</v>
      </c>
      <c r="G66" s="96">
        <f>SUM(C66:F66)</f>
        <v>8500</v>
      </c>
    </row>
    <row r="67" spans="1:7" x14ac:dyDescent="0.3">
      <c r="A67" s="17" t="s">
        <v>72</v>
      </c>
      <c r="B67" s="10" t="s">
        <v>44</v>
      </c>
      <c r="C67" s="19">
        <v>3000</v>
      </c>
      <c r="D67" s="19">
        <v>1000</v>
      </c>
      <c r="E67" s="19">
        <v>1000</v>
      </c>
      <c r="F67" s="19">
        <v>3500</v>
      </c>
      <c r="G67" s="96">
        <f>SUM(C67:F67)</f>
        <v>8500</v>
      </c>
    </row>
    <row r="68" spans="1:7" x14ac:dyDescent="0.3">
      <c r="A68" s="100">
        <v>2</v>
      </c>
      <c r="B68" s="98" t="s">
        <v>42</v>
      </c>
      <c r="C68" s="99">
        <f>C69+C83</f>
        <v>2019.2816699999998</v>
      </c>
      <c r="D68" s="99">
        <f t="shared" ref="D68:F68" si="35">D69+D83</f>
        <v>1995.2816699999998</v>
      </c>
      <c r="E68" s="99">
        <f t="shared" si="35"/>
        <v>1995.2816699999998</v>
      </c>
      <c r="F68" s="99">
        <f t="shared" si="35"/>
        <v>1995.2816699999998</v>
      </c>
      <c r="G68" s="96">
        <f>SUM(C68:F68)</f>
        <v>8005.1266799999994</v>
      </c>
    </row>
    <row r="69" spans="1:7" x14ac:dyDescent="0.3">
      <c r="A69" s="101" t="s">
        <v>57</v>
      </c>
      <c r="B69" s="102" t="s">
        <v>70</v>
      </c>
      <c r="C69" s="103">
        <f>SUM(C70:C82)</f>
        <v>1534.75667</v>
      </c>
      <c r="D69" s="103">
        <f>SUM(D70:D82)</f>
        <v>1510.75667</v>
      </c>
      <c r="E69" s="103">
        <f>SUM(E70:E82)</f>
        <v>1510.75667</v>
      </c>
      <c r="F69" s="103">
        <f>SUM(F70:F82)</f>
        <v>1510.75667</v>
      </c>
      <c r="G69" s="96">
        <f>SUM(C69:F69)</f>
        <v>6067.0266799999999</v>
      </c>
    </row>
    <row r="70" spans="1:7" x14ac:dyDescent="0.3">
      <c r="A70" s="18" t="s">
        <v>58</v>
      </c>
      <c r="B70" s="4" t="s">
        <v>13</v>
      </c>
      <c r="C70" s="19">
        <f>303750/1000</f>
        <v>303.75</v>
      </c>
      <c r="D70" s="19">
        <f t="shared" ref="D70:F70" si="36">303750/1000</f>
        <v>303.75</v>
      </c>
      <c r="E70" s="19">
        <f t="shared" si="36"/>
        <v>303.75</v>
      </c>
      <c r="F70" s="19">
        <f t="shared" si="36"/>
        <v>303.75</v>
      </c>
      <c r="G70" s="96">
        <f t="shared" ref="G70:G82" si="37">SUM(C70:F70)</f>
        <v>1215</v>
      </c>
    </row>
    <row r="71" spans="1:7" x14ac:dyDescent="0.3">
      <c r="A71" s="18" t="s">
        <v>59</v>
      </c>
      <c r="B71" s="4" t="s">
        <v>86</v>
      </c>
      <c r="C71" s="19">
        <v>90</v>
      </c>
      <c r="D71" s="19">
        <v>90</v>
      </c>
      <c r="E71" s="19">
        <v>90</v>
      </c>
      <c r="F71" s="19">
        <v>90</v>
      </c>
      <c r="G71" s="96">
        <f t="shared" si="37"/>
        <v>360</v>
      </c>
    </row>
    <row r="72" spans="1:7" x14ac:dyDescent="0.3">
      <c r="A72" s="18" t="s">
        <v>60</v>
      </c>
      <c r="B72" s="4" t="s">
        <v>78</v>
      </c>
      <c r="C72" s="19">
        <v>180</v>
      </c>
      <c r="D72" s="19">
        <v>180</v>
      </c>
      <c r="E72" s="19">
        <v>180</v>
      </c>
      <c r="F72" s="19">
        <v>180</v>
      </c>
      <c r="G72" s="96">
        <f t="shared" si="37"/>
        <v>720</v>
      </c>
    </row>
    <row r="73" spans="1:7" x14ac:dyDescent="0.3">
      <c r="A73" s="18" t="s">
        <v>61</v>
      </c>
      <c r="B73" s="4" t="s">
        <v>101</v>
      </c>
      <c r="C73" s="19">
        <f>6666.67/1000</f>
        <v>6.6666699999999999</v>
      </c>
      <c r="D73" s="19">
        <f t="shared" ref="D73:F73" si="38">6666.67/1000</f>
        <v>6.6666699999999999</v>
      </c>
      <c r="E73" s="19">
        <f t="shared" si="38"/>
        <v>6.6666699999999999</v>
      </c>
      <c r="F73" s="19">
        <f t="shared" si="38"/>
        <v>6.6666699999999999</v>
      </c>
      <c r="G73" s="96">
        <f t="shared" si="37"/>
        <v>26.666679999999999</v>
      </c>
    </row>
    <row r="74" spans="1:7" x14ac:dyDescent="0.3">
      <c r="A74" s="18" t="s">
        <v>63</v>
      </c>
      <c r="B74" s="4" t="s">
        <v>16</v>
      </c>
      <c r="C74" s="19">
        <v>112.5</v>
      </c>
      <c r="D74" s="19">
        <v>112.5</v>
      </c>
      <c r="E74" s="19">
        <v>112.5</v>
      </c>
      <c r="F74" s="19">
        <v>112.5</v>
      </c>
      <c r="G74" s="96">
        <f t="shared" si="37"/>
        <v>450</v>
      </c>
    </row>
    <row r="75" spans="1:7" x14ac:dyDescent="0.3">
      <c r="A75" s="18" t="s">
        <v>64</v>
      </c>
      <c r="B75" s="4" t="s">
        <v>19</v>
      </c>
      <c r="C75" s="19">
        <v>212.5</v>
      </c>
      <c r="D75" s="19">
        <v>212.5</v>
      </c>
      <c r="E75" s="19">
        <v>212.5</v>
      </c>
      <c r="F75" s="19">
        <v>212.5</v>
      </c>
      <c r="G75" s="96">
        <f t="shared" si="37"/>
        <v>850</v>
      </c>
    </row>
    <row r="76" spans="1:7" x14ac:dyDescent="0.3">
      <c r="A76" s="18" t="s">
        <v>65</v>
      </c>
      <c r="B76" s="4" t="s">
        <v>102</v>
      </c>
      <c r="C76" s="19">
        <v>150</v>
      </c>
      <c r="D76" s="19">
        <v>150</v>
      </c>
      <c r="E76" s="19">
        <v>150</v>
      </c>
      <c r="F76" s="19">
        <v>150</v>
      </c>
      <c r="G76" s="96">
        <f t="shared" si="37"/>
        <v>600</v>
      </c>
    </row>
    <row r="77" spans="1:7" ht="28.8" x14ac:dyDescent="0.3">
      <c r="A77" s="18" t="s">
        <v>66</v>
      </c>
      <c r="B77" s="4" t="s">
        <v>100</v>
      </c>
      <c r="C77" s="19">
        <v>112.5</v>
      </c>
      <c r="D77" s="19">
        <v>112.5</v>
      </c>
      <c r="E77" s="19">
        <v>112.5</v>
      </c>
      <c r="F77" s="19">
        <v>112.5</v>
      </c>
      <c r="G77" s="96">
        <f t="shared" si="37"/>
        <v>450</v>
      </c>
    </row>
    <row r="78" spans="1:7" x14ac:dyDescent="0.3">
      <c r="A78" s="18" t="s">
        <v>67</v>
      </c>
      <c r="B78" s="4" t="s">
        <v>14</v>
      </c>
      <c r="C78" s="19">
        <v>12</v>
      </c>
      <c r="D78" s="19">
        <v>12</v>
      </c>
      <c r="E78" s="19">
        <v>12</v>
      </c>
      <c r="F78" s="19">
        <v>12</v>
      </c>
      <c r="G78" s="96">
        <f t="shared" si="37"/>
        <v>48</v>
      </c>
    </row>
    <row r="79" spans="1:7" ht="28.8" x14ac:dyDescent="0.3">
      <c r="A79" s="18" t="s">
        <v>68</v>
      </c>
      <c r="B79" s="4" t="s">
        <v>106</v>
      </c>
      <c r="C79" s="19">
        <v>87.5</v>
      </c>
      <c r="D79" s="19">
        <v>87.5</v>
      </c>
      <c r="E79" s="19">
        <v>87.5</v>
      </c>
      <c r="F79" s="19">
        <v>87.5</v>
      </c>
      <c r="G79" s="96">
        <f t="shared" si="37"/>
        <v>350</v>
      </c>
    </row>
    <row r="80" spans="1:7" x14ac:dyDescent="0.3">
      <c r="A80" s="18" t="s">
        <v>200</v>
      </c>
      <c r="B80" s="4" t="s">
        <v>21</v>
      </c>
      <c r="C80" s="19">
        <v>189.34</v>
      </c>
      <c r="D80" s="19">
        <v>189.34</v>
      </c>
      <c r="E80" s="19">
        <v>189.34</v>
      </c>
      <c r="F80" s="19">
        <v>189.34</v>
      </c>
      <c r="G80" s="96">
        <f t="shared" si="37"/>
        <v>757.36</v>
      </c>
    </row>
    <row r="81" spans="1:7" x14ac:dyDescent="0.3">
      <c r="A81" s="18" t="s">
        <v>201</v>
      </c>
      <c r="B81" s="4" t="s">
        <v>103</v>
      </c>
      <c r="C81" s="19">
        <v>54</v>
      </c>
      <c r="D81" s="19">
        <v>54</v>
      </c>
      <c r="E81" s="19">
        <v>54</v>
      </c>
      <c r="F81" s="19">
        <v>54</v>
      </c>
      <c r="G81" s="96">
        <f t="shared" si="37"/>
        <v>216</v>
      </c>
    </row>
    <row r="82" spans="1:7" x14ac:dyDescent="0.3">
      <c r="A82" s="18" t="s">
        <v>202</v>
      </c>
      <c r="B82" s="4" t="s">
        <v>105</v>
      </c>
      <c r="C82" s="19">
        <v>24</v>
      </c>
      <c r="D82" s="19">
        <v>0</v>
      </c>
      <c r="E82" s="19">
        <v>0</v>
      </c>
      <c r="F82" s="19">
        <v>0</v>
      </c>
      <c r="G82" s="96">
        <f t="shared" si="37"/>
        <v>24</v>
      </c>
    </row>
    <row r="83" spans="1:7" x14ac:dyDescent="0.3">
      <c r="A83" s="101" t="s">
        <v>69</v>
      </c>
      <c r="B83" s="102" t="s">
        <v>71</v>
      </c>
      <c r="C83" s="103">
        <f>SUM(C84:C95)</f>
        <v>484.52499999999998</v>
      </c>
      <c r="D83" s="103">
        <f>SUM(D84:D95)</f>
        <v>484.52499999999998</v>
      </c>
      <c r="E83" s="103">
        <f>SUM(E84:E95)</f>
        <v>484.52499999999998</v>
      </c>
      <c r="F83" s="103">
        <f>SUM(F84:F95)</f>
        <v>484.52499999999998</v>
      </c>
      <c r="G83" s="96">
        <f>SUM(C83:F83)</f>
        <v>1938.1</v>
      </c>
    </row>
    <row r="84" spans="1:7" x14ac:dyDescent="0.3">
      <c r="A84" s="18" t="s">
        <v>59</v>
      </c>
      <c r="B84" s="1" t="s">
        <v>109</v>
      </c>
      <c r="C84" s="19">
        <f>48000/1000/4</f>
        <v>12</v>
      </c>
      <c r="D84" s="19">
        <f t="shared" ref="D84:F84" si="39">48000/1000/4</f>
        <v>12</v>
      </c>
      <c r="E84" s="19">
        <f t="shared" si="39"/>
        <v>12</v>
      </c>
      <c r="F84" s="19">
        <f t="shared" si="39"/>
        <v>12</v>
      </c>
      <c r="G84" s="96">
        <f>SUM(C84:F84)</f>
        <v>48</v>
      </c>
    </row>
    <row r="85" spans="1:7" x14ac:dyDescent="0.3">
      <c r="A85" s="18" t="s">
        <v>60</v>
      </c>
      <c r="B85" s="1" t="s">
        <v>110</v>
      </c>
      <c r="C85" s="19">
        <f>225000/4/1000</f>
        <v>56.25</v>
      </c>
      <c r="D85" s="19">
        <f t="shared" ref="D85:F85" si="40">225000/4/1000</f>
        <v>56.25</v>
      </c>
      <c r="E85" s="19">
        <f t="shared" si="40"/>
        <v>56.25</v>
      </c>
      <c r="F85" s="19">
        <f t="shared" si="40"/>
        <v>56.25</v>
      </c>
      <c r="G85" s="96">
        <f t="shared" ref="G85:G95" si="41">SUM(C85:F85)</f>
        <v>225</v>
      </c>
    </row>
    <row r="86" spans="1:7" ht="28.8" x14ac:dyDescent="0.3">
      <c r="A86" s="18" t="s">
        <v>61</v>
      </c>
      <c r="B86" s="45" t="s">
        <v>111</v>
      </c>
      <c r="C86" s="19">
        <f>80000/1000/4</f>
        <v>20</v>
      </c>
      <c r="D86" s="19">
        <f t="shared" ref="D86:F86" si="42">80000/1000/4</f>
        <v>20</v>
      </c>
      <c r="E86" s="19">
        <f t="shared" si="42"/>
        <v>20</v>
      </c>
      <c r="F86" s="19">
        <f t="shared" si="42"/>
        <v>20</v>
      </c>
      <c r="G86" s="96">
        <f t="shared" si="41"/>
        <v>80</v>
      </c>
    </row>
    <row r="87" spans="1:7" x14ac:dyDescent="0.3">
      <c r="A87" s="18" t="s">
        <v>62</v>
      </c>
      <c r="B87" s="45" t="s">
        <v>146</v>
      </c>
      <c r="C87" s="19">
        <f>90000/1000/4</f>
        <v>22.5</v>
      </c>
      <c r="D87" s="19">
        <f t="shared" ref="D87:F87" si="43">90000/1000/4</f>
        <v>22.5</v>
      </c>
      <c r="E87" s="19">
        <f t="shared" si="43"/>
        <v>22.5</v>
      </c>
      <c r="F87" s="19">
        <f t="shared" si="43"/>
        <v>22.5</v>
      </c>
      <c r="G87" s="96">
        <f t="shared" si="41"/>
        <v>90</v>
      </c>
    </row>
    <row r="88" spans="1:7" x14ac:dyDescent="0.3">
      <c r="A88" s="18" t="s">
        <v>64</v>
      </c>
      <c r="B88" s="1" t="s">
        <v>80</v>
      </c>
      <c r="C88" s="19">
        <f>60000/1000/4</f>
        <v>15</v>
      </c>
      <c r="D88" s="19">
        <f t="shared" ref="D88:F88" si="44">60000/1000/4</f>
        <v>15</v>
      </c>
      <c r="E88" s="19">
        <f t="shared" si="44"/>
        <v>15</v>
      </c>
      <c r="F88" s="19">
        <f t="shared" si="44"/>
        <v>15</v>
      </c>
      <c r="G88" s="96">
        <f t="shared" si="41"/>
        <v>60</v>
      </c>
    </row>
    <row r="89" spans="1:7" x14ac:dyDescent="0.3">
      <c r="A89" s="18" t="s">
        <v>65</v>
      </c>
      <c r="B89" s="1" t="s">
        <v>81</v>
      </c>
      <c r="C89" s="19">
        <f>37500/1000/4</f>
        <v>9.375</v>
      </c>
      <c r="D89" s="19">
        <f t="shared" ref="D89:F89" si="45">37500/1000/4</f>
        <v>9.375</v>
      </c>
      <c r="E89" s="19">
        <f t="shared" si="45"/>
        <v>9.375</v>
      </c>
      <c r="F89" s="19">
        <f t="shared" si="45"/>
        <v>9.375</v>
      </c>
      <c r="G89" s="96">
        <f t="shared" si="41"/>
        <v>37.5</v>
      </c>
    </row>
    <row r="90" spans="1:7" x14ac:dyDescent="0.3">
      <c r="A90" s="18" t="s">
        <v>66</v>
      </c>
      <c r="B90" s="1" t="s">
        <v>83</v>
      </c>
      <c r="C90" s="19">
        <f>90/4</f>
        <v>22.5</v>
      </c>
      <c r="D90" s="19">
        <f t="shared" ref="D90:F90" si="46">90/4</f>
        <v>22.5</v>
      </c>
      <c r="E90" s="19">
        <f t="shared" si="46"/>
        <v>22.5</v>
      </c>
      <c r="F90" s="19">
        <f t="shared" si="46"/>
        <v>22.5</v>
      </c>
      <c r="G90" s="96">
        <f t="shared" si="41"/>
        <v>90</v>
      </c>
    </row>
    <row r="91" spans="1:7" x14ac:dyDescent="0.3">
      <c r="A91" s="18" t="s">
        <v>67</v>
      </c>
      <c r="B91" s="1" t="s">
        <v>82</v>
      </c>
      <c r="C91" s="19">
        <f>50/4</f>
        <v>12.5</v>
      </c>
      <c r="D91" s="19">
        <f t="shared" ref="D91:F91" si="47">50/4</f>
        <v>12.5</v>
      </c>
      <c r="E91" s="19">
        <f t="shared" si="47"/>
        <v>12.5</v>
      </c>
      <c r="F91" s="19">
        <f t="shared" si="47"/>
        <v>12.5</v>
      </c>
      <c r="G91" s="96">
        <f t="shared" si="41"/>
        <v>50</v>
      </c>
    </row>
    <row r="92" spans="1:7" x14ac:dyDescent="0.3">
      <c r="A92" s="18" t="s">
        <v>68</v>
      </c>
      <c r="B92" s="1" t="s">
        <v>113</v>
      </c>
      <c r="C92" s="19">
        <f>42/4</f>
        <v>10.5</v>
      </c>
      <c r="D92" s="19">
        <f t="shared" ref="D92:F92" si="48">42/4</f>
        <v>10.5</v>
      </c>
      <c r="E92" s="19">
        <f t="shared" si="48"/>
        <v>10.5</v>
      </c>
      <c r="F92" s="19">
        <f t="shared" si="48"/>
        <v>10.5</v>
      </c>
      <c r="G92" s="96">
        <f t="shared" si="41"/>
        <v>42</v>
      </c>
    </row>
    <row r="93" spans="1:7" x14ac:dyDescent="0.3">
      <c r="A93" s="18" t="s">
        <v>200</v>
      </c>
      <c r="B93" s="1" t="s">
        <v>115</v>
      </c>
      <c r="C93" s="19">
        <f>15600/1000/4</f>
        <v>3.9</v>
      </c>
      <c r="D93" s="19">
        <f t="shared" ref="D93:F93" si="49">15600/1000/4</f>
        <v>3.9</v>
      </c>
      <c r="E93" s="19">
        <f t="shared" si="49"/>
        <v>3.9</v>
      </c>
      <c r="F93" s="19">
        <f t="shared" si="49"/>
        <v>3.9</v>
      </c>
      <c r="G93" s="96">
        <f t="shared" si="41"/>
        <v>15.6</v>
      </c>
    </row>
    <row r="94" spans="1:7" x14ac:dyDescent="0.3">
      <c r="A94" s="18" t="s">
        <v>201</v>
      </c>
      <c r="B94" s="1" t="s">
        <v>114</v>
      </c>
      <c r="C94" s="19">
        <f>800/4</f>
        <v>200</v>
      </c>
      <c r="D94" s="19">
        <f t="shared" ref="D94:F94" si="50">800/4</f>
        <v>200</v>
      </c>
      <c r="E94" s="19">
        <f t="shared" si="50"/>
        <v>200</v>
      </c>
      <c r="F94" s="19">
        <f t="shared" si="50"/>
        <v>200</v>
      </c>
      <c r="G94" s="96">
        <f t="shared" si="41"/>
        <v>800</v>
      </c>
    </row>
    <row r="95" spans="1:7" x14ac:dyDescent="0.3">
      <c r="A95" s="18" t="s">
        <v>202</v>
      </c>
      <c r="B95" s="57" t="s">
        <v>138</v>
      </c>
      <c r="C95" s="19">
        <f>400/4</f>
        <v>100</v>
      </c>
      <c r="D95" s="19">
        <f t="shared" ref="D95:F95" si="51">400/4</f>
        <v>100</v>
      </c>
      <c r="E95" s="19">
        <f t="shared" si="51"/>
        <v>100</v>
      </c>
      <c r="F95" s="19">
        <f t="shared" si="51"/>
        <v>100</v>
      </c>
      <c r="G95" s="96">
        <f t="shared" si="41"/>
        <v>400</v>
      </c>
    </row>
    <row r="96" spans="1:7" x14ac:dyDescent="0.3">
      <c r="A96" s="97" t="s">
        <v>74</v>
      </c>
      <c r="B96" s="98" t="s">
        <v>196</v>
      </c>
      <c r="C96" s="99">
        <f>C66-C68</f>
        <v>980.71833000000015</v>
      </c>
      <c r="D96" s="99">
        <f>D66-D68</f>
        <v>-995.28166999999985</v>
      </c>
      <c r="E96" s="99">
        <f>E66-E68</f>
        <v>-995.28166999999985</v>
      </c>
      <c r="F96" s="99">
        <f>F66-F68</f>
        <v>1504.7183300000002</v>
      </c>
      <c r="G96" s="96">
        <f>G66-G68</f>
        <v>494.8733200000006</v>
      </c>
    </row>
    <row r="97" spans="1:7" x14ac:dyDescent="0.3">
      <c r="A97" s="97" t="s">
        <v>75</v>
      </c>
      <c r="B97" s="98" t="s">
        <v>76</v>
      </c>
      <c r="C97" s="99">
        <f>C96</f>
        <v>980.71833000000015</v>
      </c>
      <c r="D97" s="99">
        <f>C97+D96</f>
        <v>-14.563339999999698</v>
      </c>
      <c r="E97" s="99">
        <f t="shared" ref="E97" si="52">D97+E96</f>
        <v>-1009.8450099999995</v>
      </c>
      <c r="F97" s="99">
        <f>E97+F96</f>
        <v>494.8733200000006</v>
      </c>
      <c r="G97" s="96" t="s">
        <v>203</v>
      </c>
    </row>
    <row r="100" spans="1:7" x14ac:dyDescent="0.3">
      <c r="A100" t="s">
        <v>205</v>
      </c>
      <c r="D100" s="95" t="s">
        <v>5</v>
      </c>
    </row>
    <row r="101" spans="1:7" x14ac:dyDescent="0.3">
      <c r="A101" s="147" t="s">
        <v>0</v>
      </c>
      <c r="B101" s="147" t="s">
        <v>37</v>
      </c>
      <c r="C101" s="144" t="s">
        <v>207</v>
      </c>
      <c r="D101" s="145"/>
      <c r="E101" s="145"/>
      <c r="F101" s="146"/>
      <c r="G101" s="142" t="s">
        <v>30</v>
      </c>
    </row>
    <row r="102" spans="1:7" x14ac:dyDescent="0.3">
      <c r="A102" s="147"/>
      <c r="B102" s="147"/>
      <c r="C102" s="11" t="s">
        <v>31</v>
      </c>
      <c r="D102" s="11" t="s">
        <v>32</v>
      </c>
      <c r="E102" s="11" t="s">
        <v>33</v>
      </c>
      <c r="F102" s="11" t="s">
        <v>34</v>
      </c>
      <c r="G102" s="143"/>
    </row>
    <row r="103" spans="1:7" x14ac:dyDescent="0.3">
      <c r="A103" s="100">
        <v>1</v>
      </c>
      <c r="B103" s="98" t="s">
        <v>41</v>
      </c>
      <c r="C103" s="99">
        <f>SUM(C104:C104)</f>
        <v>3000</v>
      </c>
      <c r="D103" s="99">
        <f>SUM(D104:D104)</f>
        <v>4500</v>
      </c>
      <c r="E103" s="99">
        <f>SUM(E104:E104)</f>
        <v>9750</v>
      </c>
      <c r="F103" s="99">
        <f>SUM(F104:F104)</f>
        <v>9000</v>
      </c>
      <c r="G103" s="96">
        <f>SUM(C103:F103)</f>
        <v>26250</v>
      </c>
    </row>
    <row r="104" spans="1:7" x14ac:dyDescent="0.3">
      <c r="A104" s="17" t="s">
        <v>72</v>
      </c>
      <c r="B104" s="10" t="s">
        <v>44</v>
      </c>
      <c r="C104" s="19">
        <v>3000</v>
      </c>
      <c r="D104" s="19">
        <v>4500</v>
      </c>
      <c r="E104" s="19">
        <v>9750</v>
      </c>
      <c r="F104" s="19">
        <v>9000</v>
      </c>
      <c r="G104" s="96">
        <f>SUM(C104:F104)</f>
        <v>26250</v>
      </c>
    </row>
    <row r="105" spans="1:7" x14ac:dyDescent="0.3">
      <c r="A105" s="100">
        <v>2</v>
      </c>
      <c r="B105" s="98" t="s">
        <v>42</v>
      </c>
      <c r="C105" s="99">
        <f>C106+C120</f>
        <v>2754.6166700000003</v>
      </c>
      <c r="D105" s="99">
        <f t="shared" ref="D105:F105" si="53">D106+D120</f>
        <v>2728.2166700000002</v>
      </c>
      <c r="E105" s="99">
        <f t="shared" si="53"/>
        <v>2728.2166700000002</v>
      </c>
      <c r="F105" s="99">
        <f t="shared" si="53"/>
        <v>2728.2166700000002</v>
      </c>
      <c r="G105" s="96">
        <f>SUM(C105:F105)</f>
        <v>10939.266680000001</v>
      </c>
    </row>
    <row r="106" spans="1:7" x14ac:dyDescent="0.3">
      <c r="A106" s="101" t="s">
        <v>57</v>
      </c>
      <c r="B106" s="102" t="s">
        <v>70</v>
      </c>
      <c r="C106" s="103">
        <f>SUM(C107:C119)</f>
        <v>2066.2166700000002</v>
      </c>
      <c r="D106" s="103">
        <f>SUM(D107:D119)</f>
        <v>2039.8166700000002</v>
      </c>
      <c r="E106" s="103">
        <f>SUM(E107:E119)</f>
        <v>2039.8166700000002</v>
      </c>
      <c r="F106" s="103">
        <f>SUM(F107:F119)</f>
        <v>2039.8166700000002</v>
      </c>
      <c r="G106" s="96">
        <f>SUM(C106:F106)</f>
        <v>8185.6666800000003</v>
      </c>
    </row>
    <row r="107" spans="1:7" x14ac:dyDescent="0.3">
      <c r="A107" s="18" t="s">
        <v>58</v>
      </c>
      <c r="B107" s="4" t="s">
        <v>13</v>
      </c>
      <c r="C107" s="19">
        <v>495</v>
      </c>
      <c r="D107" s="19">
        <v>495</v>
      </c>
      <c r="E107" s="19">
        <v>495</v>
      </c>
      <c r="F107" s="19">
        <v>495</v>
      </c>
      <c r="G107" s="96">
        <f t="shared" ref="G107:G119" si="54">SUM(C107:F107)</f>
        <v>1980</v>
      </c>
    </row>
    <row r="108" spans="1:7" x14ac:dyDescent="0.3">
      <c r="A108" s="18" t="s">
        <v>59</v>
      </c>
      <c r="B108" s="4" t="s">
        <v>86</v>
      </c>
      <c r="C108" s="19">
        <v>165</v>
      </c>
      <c r="D108" s="19">
        <v>165</v>
      </c>
      <c r="E108" s="19">
        <v>165</v>
      </c>
      <c r="F108" s="19">
        <v>165</v>
      </c>
      <c r="G108" s="96">
        <f t="shared" si="54"/>
        <v>660</v>
      </c>
    </row>
    <row r="109" spans="1:7" x14ac:dyDescent="0.3">
      <c r="A109" s="18" t="s">
        <v>60</v>
      </c>
      <c r="B109" s="4" t="s">
        <v>78</v>
      </c>
      <c r="C109" s="19">
        <v>195</v>
      </c>
      <c r="D109" s="19">
        <v>195</v>
      </c>
      <c r="E109" s="19">
        <v>195</v>
      </c>
      <c r="F109" s="19">
        <v>195</v>
      </c>
      <c r="G109" s="96">
        <f t="shared" si="54"/>
        <v>780</v>
      </c>
    </row>
    <row r="110" spans="1:7" x14ac:dyDescent="0.3">
      <c r="A110" s="18" t="s">
        <v>61</v>
      </c>
      <c r="B110" s="4" t="s">
        <v>101</v>
      </c>
      <c r="C110" s="19">
        <f>6666.67/1000</f>
        <v>6.6666699999999999</v>
      </c>
      <c r="D110" s="19">
        <f t="shared" ref="D110:F110" si="55">6666.67/1000</f>
        <v>6.6666699999999999</v>
      </c>
      <c r="E110" s="19">
        <f t="shared" si="55"/>
        <v>6.6666699999999999</v>
      </c>
      <c r="F110" s="19">
        <f t="shared" si="55"/>
        <v>6.6666699999999999</v>
      </c>
      <c r="G110" s="96">
        <f t="shared" si="54"/>
        <v>26.666679999999999</v>
      </c>
    </row>
    <row r="111" spans="1:7" x14ac:dyDescent="0.3">
      <c r="A111" s="18" t="s">
        <v>63</v>
      </c>
      <c r="B111" s="4" t="s">
        <v>16</v>
      </c>
      <c r="C111" s="19">
        <v>125</v>
      </c>
      <c r="D111" s="19">
        <v>125</v>
      </c>
      <c r="E111" s="19">
        <v>125</v>
      </c>
      <c r="F111" s="19">
        <v>125</v>
      </c>
      <c r="G111" s="96">
        <f t="shared" si="54"/>
        <v>500</v>
      </c>
    </row>
    <row r="112" spans="1:7" x14ac:dyDescent="0.3">
      <c r="A112" s="18" t="s">
        <v>64</v>
      </c>
      <c r="B112" s="4" t="s">
        <v>19</v>
      </c>
      <c r="C112" s="19">
        <v>300</v>
      </c>
      <c r="D112" s="19">
        <v>300</v>
      </c>
      <c r="E112" s="19">
        <v>300</v>
      </c>
      <c r="F112" s="19">
        <v>300</v>
      </c>
      <c r="G112" s="96">
        <f t="shared" si="54"/>
        <v>1200</v>
      </c>
    </row>
    <row r="113" spans="1:7" x14ac:dyDescent="0.3">
      <c r="A113" s="18" t="s">
        <v>65</v>
      </c>
      <c r="B113" s="4" t="s">
        <v>102</v>
      </c>
      <c r="C113" s="19">
        <v>165</v>
      </c>
      <c r="D113" s="19">
        <v>165</v>
      </c>
      <c r="E113" s="19">
        <v>165</v>
      </c>
      <c r="F113" s="19">
        <v>165</v>
      </c>
      <c r="G113" s="96">
        <f t="shared" si="54"/>
        <v>660</v>
      </c>
    </row>
    <row r="114" spans="1:7" ht="28.8" x14ac:dyDescent="0.3">
      <c r="A114" s="18" t="s">
        <v>66</v>
      </c>
      <c r="B114" s="4" t="s">
        <v>100</v>
      </c>
      <c r="C114" s="19">
        <v>125</v>
      </c>
      <c r="D114" s="19">
        <v>125</v>
      </c>
      <c r="E114" s="19">
        <v>125</v>
      </c>
      <c r="F114" s="19">
        <v>125</v>
      </c>
      <c r="G114" s="96">
        <f t="shared" si="54"/>
        <v>500</v>
      </c>
    </row>
    <row r="115" spans="1:7" x14ac:dyDescent="0.3">
      <c r="A115" s="18" t="s">
        <v>67</v>
      </c>
      <c r="B115" s="4" t="s">
        <v>14</v>
      </c>
      <c r="C115" s="19">
        <v>15</v>
      </c>
      <c r="D115" s="19">
        <v>15</v>
      </c>
      <c r="E115" s="19">
        <v>15</v>
      </c>
      <c r="F115" s="19">
        <v>15</v>
      </c>
      <c r="G115" s="96">
        <f t="shared" si="54"/>
        <v>60</v>
      </c>
    </row>
    <row r="116" spans="1:7" ht="28.8" x14ac:dyDescent="0.3">
      <c r="A116" s="18" t="s">
        <v>68</v>
      </c>
      <c r="B116" s="4" t="s">
        <v>106</v>
      </c>
      <c r="C116" s="19">
        <v>100</v>
      </c>
      <c r="D116" s="19">
        <v>100</v>
      </c>
      <c r="E116" s="19">
        <v>100</v>
      </c>
      <c r="F116" s="19">
        <v>100</v>
      </c>
      <c r="G116" s="96">
        <f t="shared" si="54"/>
        <v>400</v>
      </c>
    </row>
    <row r="117" spans="1:7" x14ac:dyDescent="0.3">
      <c r="A117" s="18" t="s">
        <v>200</v>
      </c>
      <c r="B117" s="4" t="s">
        <v>21</v>
      </c>
      <c r="C117" s="19">
        <v>282.14999999999998</v>
      </c>
      <c r="D117" s="19">
        <v>282.14999999999998</v>
      </c>
      <c r="E117" s="19">
        <v>282.14999999999998</v>
      </c>
      <c r="F117" s="19">
        <v>282.14999999999998</v>
      </c>
      <c r="G117" s="96">
        <f t="shared" si="54"/>
        <v>1128.5999999999999</v>
      </c>
    </row>
    <row r="118" spans="1:7" x14ac:dyDescent="0.3">
      <c r="A118" s="18" t="s">
        <v>201</v>
      </c>
      <c r="B118" s="4" t="s">
        <v>103</v>
      </c>
      <c r="C118" s="19">
        <v>66</v>
      </c>
      <c r="D118" s="19">
        <v>66</v>
      </c>
      <c r="E118" s="19">
        <v>66</v>
      </c>
      <c r="F118" s="19">
        <v>66</v>
      </c>
      <c r="G118" s="96">
        <f t="shared" si="54"/>
        <v>264</v>
      </c>
    </row>
    <row r="119" spans="1:7" x14ac:dyDescent="0.3">
      <c r="A119" s="18" t="s">
        <v>202</v>
      </c>
      <c r="B119" s="4" t="s">
        <v>105</v>
      </c>
      <c r="C119" s="19">
        <v>26.4</v>
      </c>
      <c r="D119" s="19">
        <v>0</v>
      </c>
      <c r="E119" s="19">
        <v>0</v>
      </c>
      <c r="F119" s="19">
        <v>0</v>
      </c>
      <c r="G119" s="96">
        <f t="shared" si="54"/>
        <v>26.4</v>
      </c>
    </row>
    <row r="120" spans="1:7" x14ac:dyDescent="0.3">
      <c r="A120" s="101" t="s">
        <v>69</v>
      </c>
      <c r="B120" s="102" t="s">
        <v>71</v>
      </c>
      <c r="C120" s="103">
        <f>SUM(C121:C132)</f>
        <v>688.4</v>
      </c>
      <c r="D120" s="103">
        <f>SUM(D121:D132)</f>
        <v>688.4</v>
      </c>
      <c r="E120" s="103">
        <f>SUM(E121:E132)</f>
        <v>688.4</v>
      </c>
      <c r="F120" s="103">
        <f>SUM(F121:F132)</f>
        <v>688.4</v>
      </c>
      <c r="G120" s="96">
        <f>SUM(C120:F120)</f>
        <v>2753.6</v>
      </c>
    </row>
    <row r="121" spans="1:7" x14ac:dyDescent="0.3">
      <c r="A121" s="18" t="s">
        <v>59</v>
      </c>
      <c r="B121" s="1" t="s">
        <v>109</v>
      </c>
      <c r="C121" s="19">
        <v>13.5</v>
      </c>
      <c r="D121" s="19">
        <v>13.5</v>
      </c>
      <c r="E121" s="19">
        <v>13.5</v>
      </c>
      <c r="F121" s="19">
        <v>13.5</v>
      </c>
      <c r="G121" s="96">
        <f>SUM(C121:F121)</f>
        <v>54</v>
      </c>
    </row>
    <row r="122" spans="1:7" x14ac:dyDescent="0.3">
      <c r="A122" s="18" t="s">
        <v>60</v>
      </c>
      <c r="B122" s="1" t="s">
        <v>110</v>
      </c>
      <c r="C122" s="19">
        <v>78.75</v>
      </c>
      <c r="D122" s="19">
        <v>78.75</v>
      </c>
      <c r="E122" s="19">
        <v>78.75</v>
      </c>
      <c r="F122" s="19">
        <v>78.75</v>
      </c>
      <c r="G122" s="96">
        <f t="shared" ref="G122:G132" si="56">SUM(C122:F122)</f>
        <v>315</v>
      </c>
    </row>
    <row r="123" spans="1:7" ht="28.8" x14ac:dyDescent="0.3">
      <c r="A123" s="18" t="s">
        <v>61</v>
      </c>
      <c r="B123" s="45" t="s">
        <v>111</v>
      </c>
      <c r="C123" s="19">
        <v>30</v>
      </c>
      <c r="D123" s="19">
        <v>30</v>
      </c>
      <c r="E123" s="19">
        <v>30</v>
      </c>
      <c r="F123" s="19">
        <v>30</v>
      </c>
      <c r="G123" s="96">
        <f t="shared" si="56"/>
        <v>120</v>
      </c>
    </row>
    <row r="124" spans="1:7" x14ac:dyDescent="0.3">
      <c r="A124" s="18" t="s">
        <v>62</v>
      </c>
      <c r="B124" s="45" t="s">
        <v>146</v>
      </c>
      <c r="C124" s="19">
        <v>27</v>
      </c>
      <c r="D124" s="19">
        <v>27</v>
      </c>
      <c r="E124" s="19">
        <v>27</v>
      </c>
      <c r="F124" s="19">
        <v>27</v>
      </c>
      <c r="G124" s="96">
        <f t="shared" si="56"/>
        <v>108</v>
      </c>
    </row>
    <row r="125" spans="1:7" x14ac:dyDescent="0.3">
      <c r="A125" s="18" t="s">
        <v>64</v>
      </c>
      <c r="B125" s="1" t="s">
        <v>80</v>
      </c>
      <c r="C125" s="19">
        <v>24</v>
      </c>
      <c r="D125" s="19">
        <v>24</v>
      </c>
      <c r="E125" s="19">
        <v>24</v>
      </c>
      <c r="F125" s="19">
        <v>24</v>
      </c>
      <c r="G125" s="96">
        <f t="shared" si="56"/>
        <v>96</v>
      </c>
    </row>
    <row r="126" spans="1:7" x14ac:dyDescent="0.3">
      <c r="A126" s="18" t="s">
        <v>65</v>
      </c>
      <c r="B126" s="1" t="s">
        <v>81</v>
      </c>
      <c r="C126" s="19">
        <f>52.5/4</f>
        <v>13.125</v>
      </c>
      <c r="D126" s="19">
        <f t="shared" ref="D126:F126" si="57">52.5/4</f>
        <v>13.125</v>
      </c>
      <c r="E126" s="19">
        <f t="shared" si="57"/>
        <v>13.125</v>
      </c>
      <c r="F126" s="19">
        <f t="shared" si="57"/>
        <v>13.125</v>
      </c>
      <c r="G126" s="96">
        <f t="shared" si="56"/>
        <v>52.5</v>
      </c>
    </row>
    <row r="127" spans="1:7" x14ac:dyDescent="0.3">
      <c r="A127" s="18" t="s">
        <v>66</v>
      </c>
      <c r="B127" s="1" t="s">
        <v>83</v>
      </c>
      <c r="C127" s="19">
        <v>36</v>
      </c>
      <c r="D127" s="19">
        <v>36</v>
      </c>
      <c r="E127" s="19">
        <v>36</v>
      </c>
      <c r="F127" s="19">
        <v>36</v>
      </c>
      <c r="G127" s="96">
        <f t="shared" si="56"/>
        <v>144</v>
      </c>
    </row>
    <row r="128" spans="1:7" x14ac:dyDescent="0.3">
      <c r="A128" s="18" t="s">
        <v>67</v>
      </c>
      <c r="B128" s="1" t="s">
        <v>82</v>
      </c>
      <c r="C128" s="19">
        <v>22.5</v>
      </c>
      <c r="D128" s="19">
        <v>22.5</v>
      </c>
      <c r="E128" s="19">
        <v>22.5</v>
      </c>
      <c r="F128" s="19">
        <v>22.5</v>
      </c>
      <c r="G128" s="96">
        <f t="shared" si="56"/>
        <v>90</v>
      </c>
    </row>
    <row r="129" spans="1:7" x14ac:dyDescent="0.3">
      <c r="A129" s="18" t="s">
        <v>68</v>
      </c>
      <c r="B129" s="1" t="s">
        <v>113</v>
      </c>
      <c r="C129" s="19">
        <f>54.6/4</f>
        <v>13.65</v>
      </c>
      <c r="D129" s="19">
        <f t="shared" ref="D129:F129" si="58">54.6/4</f>
        <v>13.65</v>
      </c>
      <c r="E129" s="19">
        <f t="shared" si="58"/>
        <v>13.65</v>
      </c>
      <c r="F129" s="19">
        <f t="shared" si="58"/>
        <v>13.65</v>
      </c>
      <c r="G129" s="96">
        <f t="shared" si="56"/>
        <v>54.6</v>
      </c>
    </row>
    <row r="130" spans="1:7" x14ac:dyDescent="0.3">
      <c r="A130" s="18" t="s">
        <v>200</v>
      </c>
      <c r="B130" s="1" t="s">
        <v>115</v>
      </c>
      <c r="C130" s="19">
        <f>19.5/4</f>
        <v>4.875</v>
      </c>
      <c r="D130" s="19">
        <f t="shared" ref="D130:F130" si="59">19.5/4</f>
        <v>4.875</v>
      </c>
      <c r="E130" s="19">
        <f t="shared" si="59"/>
        <v>4.875</v>
      </c>
      <c r="F130" s="19">
        <f t="shared" si="59"/>
        <v>4.875</v>
      </c>
      <c r="G130" s="96">
        <f t="shared" si="56"/>
        <v>19.5</v>
      </c>
    </row>
    <row r="131" spans="1:7" x14ac:dyDescent="0.3">
      <c r="A131" s="18" t="s">
        <v>201</v>
      </c>
      <c r="B131" s="1" t="s">
        <v>114</v>
      </c>
      <c r="C131" s="19">
        <v>300</v>
      </c>
      <c r="D131" s="19">
        <v>300</v>
      </c>
      <c r="E131" s="19">
        <v>300</v>
      </c>
      <c r="F131" s="19">
        <v>300</v>
      </c>
      <c r="G131" s="96">
        <f t="shared" si="56"/>
        <v>1200</v>
      </c>
    </row>
    <row r="132" spans="1:7" x14ac:dyDescent="0.3">
      <c r="A132" s="18" t="s">
        <v>202</v>
      </c>
      <c r="B132" s="57" t="s">
        <v>138</v>
      </c>
      <c r="C132" s="19">
        <v>125</v>
      </c>
      <c r="D132" s="19">
        <v>125</v>
      </c>
      <c r="E132" s="19">
        <v>125</v>
      </c>
      <c r="F132" s="19">
        <v>125</v>
      </c>
      <c r="G132" s="96">
        <f t="shared" si="56"/>
        <v>500</v>
      </c>
    </row>
    <row r="133" spans="1:7" x14ac:dyDescent="0.3">
      <c r="A133" s="97" t="s">
        <v>74</v>
      </c>
      <c r="B133" s="98" t="s">
        <v>196</v>
      </c>
      <c r="C133" s="99">
        <f>C103-C105</f>
        <v>245.38332999999966</v>
      </c>
      <c r="D133" s="99">
        <f>D103-D105</f>
        <v>1771.7833299999998</v>
      </c>
      <c r="E133" s="99">
        <f>E103-E105</f>
        <v>7021.7833300000002</v>
      </c>
      <c r="F133" s="99">
        <f>F103-F105</f>
        <v>6271.7833300000002</v>
      </c>
      <c r="G133" s="96">
        <f>G103-G105</f>
        <v>15310.733319999999</v>
      </c>
    </row>
    <row r="134" spans="1:7" x14ac:dyDescent="0.3">
      <c r="A134" s="97" t="s">
        <v>75</v>
      </c>
      <c r="B134" s="98" t="s">
        <v>76</v>
      </c>
      <c r="C134" s="99">
        <f>C133</f>
        <v>245.38332999999966</v>
      </c>
      <c r="D134" s="99">
        <f>C134+D133</f>
        <v>2017.1666599999994</v>
      </c>
      <c r="E134" s="99">
        <f t="shared" ref="E134" si="60">D134+E133</f>
        <v>9038.9499899999992</v>
      </c>
      <c r="F134" s="99">
        <f>E134+F133</f>
        <v>15310.733319999999</v>
      </c>
      <c r="G134" s="96" t="s">
        <v>203</v>
      </c>
    </row>
  </sheetData>
  <mergeCells count="16">
    <mergeCell ref="A101:A102"/>
    <mergeCell ref="B101:B102"/>
    <mergeCell ref="C101:F101"/>
    <mergeCell ref="G101:G102"/>
    <mergeCell ref="A64:A65"/>
    <mergeCell ref="B64:B65"/>
    <mergeCell ref="C64:F64"/>
    <mergeCell ref="G64:G65"/>
    <mergeCell ref="O2:O3"/>
    <mergeCell ref="C2:N2"/>
    <mergeCell ref="A25:A26"/>
    <mergeCell ref="B25:B26"/>
    <mergeCell ref="G25:G26"/>
    <mergeCell ref="C25:F25"/>
    <mergeCell ref="A2:A3"/>
    <mergeCell ref="B2:B3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624DB-A410-4560-9C55-D78C8742FB85}">
  <dimension ref="A1:P174"/>
  <sheetViews>
    <sheetView zoomScale="85" zoomScaleNormal="85" workbookViewId="0">
      <selection activeCell="B118" sqref="B118:F122"/>
    </sheetView>
  </sheetViews>
  <sheetFormatPr defaultRowHeight="14.4" x14ac:dyDescent="0.3"/>
  <cols>
    <col min="1" max="1" width="37.21875" customWidth="1"/>
    <col min="2" max="2" width="14.44140625" style="105" customWidth="1"/>
    <col min="3" max="3" width="15.21875" style="105" customWidth="1"/>
    <col min="4" max="4" width="11.5546875" style="105" bestFit="1" customWidth="1"/>
    <col min="5" max="5" width="13" style="105" customWidth="1"/>
    <col min="6" max="6" width="13.33203125" bestFit="1" customWidth="1"/>
    <col min="7" max="7" width="9.6640625" customWidth="1"/>
    <col min="8" max="8" width="41.21875" bestFit="1" customWidth="1"/>
    <col min="9" max="9" width="9.33203125" bestFit="1" customWidth="1"/>
    <col min="10" max="10" width="11.5546875" bestFit="1" customWidth="1"/>
  </cols>
  <sheetData>
    <row r="1" spans="1:10" x14ac:dyDescent="0.3">
      <c r="A1" s="153" t="s">
        <v>217</v>
      </c>
      <c r="B1" s="153"/>
      <c r="C1" s="153"/>
      <c r="D1" s="153"/>
      <c r="E1" s="153"/>
      <c r="G1" s="154" t="s">
        <v>218</v>
      </c>
      <c r="H1" s="154"/>
      <c r="I1" s="154"/>
    </row>
    <row r="2" spans="1:10" x14ac:dyDescent="0.3">
      <c r="A2" s="151" t="s">
        <v>208</v>
      </c>
      <c r="B2" s="151" t="s">
        <v>213</v>
      </c>
      <c r="C2" s="151" t="s">
        <v>214</v>
      </c>
      <c r="D2" s="151" t="s">
        <v>215</v>
      </c>
      <c r="E2" s="151" t="s">
        <v>216</v>
      </c>
      <c r="G2" s="151" t="s">
        <v>0</v>
      </c>
      <c r="H2" s="151" t="s">
        <v>37</v>
      </c>
      <c r="I2" s="151" t="s">
        <v>228</v>
      </c>
    </row>
    <row r="3" spans="1:10" x14ac:dyDescent="0.3">
      <c r="A3" s="152" t="s">
        <v>209</v>
      </c>
      <c r="B3" s="150">
        <v>0</v>
      </c>
      <c r="C3" s="150">
        <v>8500</v>
      </c>
      <c r="D3" s="150">
        <v>10500</v>
      </c>
      <c r="E3" s="150">
        <v>20000</v>
      </c>
      <c r="G3" s="177">
        <v>1</v>
      </c>
      <c r="H3" s="149" t="s">
        <v>219</v>
      </c>
      <c r="I3" s="178">
        <v>30</v>
      </c>
      <c r="J3" s="111" t="s">
        <v>290</v>
      </c>
    </row>
    <row r="4" spans="1:10" x14ac:dyDescent="0.3">
      <c r="A4" s="152" t="s">
        <v>210</v>
      </c>
      <c r="B4" s="72">
        <f>ФинПлан!O7</f>
        <v>2694.0540000000001</v>
      </c>
      <c r="C4" s="72">
        <f>ФинПлан!G29</f>
        <v>5861.19398</v>
      </c>
      <c r="D4" s="72">
        <f>ФинПлан!G68</f>
        <v>8005.1266799999994</v>
      </c>
      <c r="E4" s="72">
        <f>ФинПлан!G105</f>
        <v>10939.266680000001</v>
      </c>
      <c r="G4" s="177">
        <v>2</v>
      </c>
      <c r="H4" s="104" t="s">
        <v>220</v>
      </c>
      <c r="I4" s="107">
        <v>33</v>
      </c>
    </row>
    <row r="5" spans="1:10" x14ac:dyDescent="0.3">
      <c r="A5" s="152" t="s">
        <v>211</v>
      </c>
      <c r="B5" s="150">
        <f>B3-B4</f>
        <v>-2694.0540000000001</v>
      </c>
      <c r="C5" s="150">
        <f>C3-C4</f>
        <v>2638.80602</v>
      </c>
      <c r="D5" s="150">
        <f t="shared" ref="D5:E5" si="0">D3-D4</f>
        <v>2494.8733200000006</v>
      </c>
      <c r="E5" s="150">
        <f t="shared" si="0"/>
        <v>9060.7333199999994</v>
      </c>
      <c r="G5" s="177">
        <v>3</v>
      </c>
      <c r="H5" s="149" t="s">
        <v>221</v>
      </c>
      <c r="I5" s="178">
        <f>C109</f>
        <v>3.5185506192625908</v>
      </c>
    </row>
    <row r="6" spans="1:10" x14ac:dyDescent="0.3">
      <c r="A6" s="152" t="s">
        <v>289</v>
      </c>
      <c r="B6" s="72">
        <v>0</v>
      </c>
      <c r="C6" s="72">
        <f>C3*0.03</f>
        <v>255</v>
      </c>
      <c r="D6" s="72">
        <f>D3*0.03</f>
        <v>315</v>
      </c>
      <c r="E6" s="72">
        <f>E3*0.03</f>
        <v>600</v>
      </c>
      <c r="G6" s="177">
        <v>4</v>
      </c>
      <c r="H6" s="104" t="s">
        <v>222</v>
      </c>
      <c r="I6" s="107">
        <f>E109</f>
        <v>3.901183013318283</v>
      </c>
    </row>
    <row r="7" spans="1:10" x14ac:dyDescent="0.3">
      <c r="A7" s="152" t="s">
        <v>212</v>
      </c>
      <c r="B7" s="150">
        <f>B5-B6</f>
        <v>-2694.0540000000001</v>
      </c>
      <c r="C7" s="150">
        <f t="shared" ref="C7:D7" si="1">C5-C6</f>
        <v>2383.80602</v>
      </c>
      <c r="D7" s="150">
        <f t="shared" si="1"/>
        <v>2179.8733200000006</v>
      </c>
      <c r="E7" s="150">
        <f>E5-E6</f>
        <v>8460.7333199999994</v>
      </c>
      <c r="G7" s="177">
        <v>5</v>
      </c>
      <c r="H7" s="149" t="s">
        <v>223</v>
      </c>
      <c r="I7" s="178">
        <f>C94</f>
        <v>292.729306326808</v>
      </c>
    </row>
    <row r="8" spans="1:10" x14ac:dyDescent="0.3">
      <c r="G8" s="177">
        <v>6</v>
      </c>
      <c r="H8" s="104" t="s">
        <v>224</v>
      </c>
      <c r="I8" s="107">
        <f>C117*100</f>
        <v>109.75764354422692</v>
      </c>
    </row>
    <row r="9" spans="1:10" x14ac:dyDescent="0.3">
      <c r="A9" s="110" t="s">
        <v>288</v>
      </c>
      <c r="G9" s="177">
        <v>7</v>
      </c>
      <c r="H9" s="149" t="s">
        <v>225</v>
      </c>
      <c r="I9" s="178">
        <f>C126</f>
        <v>86.086322166666662</v>
      </c>
    </row>
    <row r="10" spans="1:10" x14ac:dyDescent="0.3">
      <c r="G10" s="177">
        <v>8</v>
      </c>
      <c r="H10" s="104" t="s">
        <v>226</v>
      </c>
      <c r="I10" s="107">
        <v>33</v>
      </c>
    </row>
    <row r="11" spans="1:10" x14ac:dyDescent="0.3">
      <c r="A11" s="110" t="s">
        <v>296</v>
      </c>
      <c r="G11" s="177">
        <v>9</v>
      </c>
      <c r="H11" s="149" t="s">
        <v>227</v>
      </c>
      <c r="I11" s="178">
        <f>B138</f>
        <v>7560.7333199999994</v>
      </c>
    </row>
    <row r="13" spans="1:10" x14ac:dyDescent="0.3">
      <c r="A13" t="s">
        <v>332</v>
      </c>
    </row>
    <row r="15" spans="1:10" x14ac:dyDescent="0.3">
      <c r="A15" s="188" t="s">
        <v>316</v>
      </c>
      <c r="B15" s="188"/>
      <c r="C15" s="188"/>
      <c r="D15" s="188"/>
      <c r="E15" s="188"/>
      <c r="F15" s="188"/>
      <c r="G15" s="188"/>
      <c r="H15" s="188"/>
      <c r="I15" s="188"/>
    </row>
    <row r="16" spans="1:10" x14ac:dyDescent="0.3">
      <c r="A16" s="12"/>
    </row>
    <row r="17" spans="1:16" x14ac:dyDescent="0.3">
      <c r="A17" s="106" t="s">
        <v>37</v>
      </c>
      <c r="B17" s="106" t="s">
        <v>315</v>
      </c>
      <c r="C17"/>
      <c r="D17" s="181" t="s">
        <v>318</v>
      </c>
      <c r="E17" s="181"/>
      <c r="F17" s="181"/>
      <c r="G17" s="181"/>
      <c r="H17" s="181"/>
    </row>
    <row r="18" spans="1:16" x14ac:dyDescent="0.3">
      <c r="A18" s="106" t="s">
        <v>309</v>
      </c>
      <c r="B18" s="72">
        <v>3333.3333333333298</v>
      </c>
      <c r="C18"/>
      <c r="D18" s="181"/>
      <c r="E18" s="181"/>
      <c r="F18" s="181"/>
      <c r="G18" s="181"/>
      <c r="H18" s="181"/>
    </row>
    <row r="19" spans="1:16" x14ac:dyDescent="0.3">
      <c r="A19" s="106" t="s">
        <v>310</v>
      </c>
      <c r="B19" s="106">
        <v>6</v>
      </c>
      <c r="C19"/>
      <c r="D19" s="181"/>
      <c r="E19" s="181"/>
      <c r="F19" s="181"/>
      <c r="G19" s="181"/>
      <c r="H19" s="181"/>
    </row>
    <row r="20" spans="1:16" x14ac:dyDescent="0.3">
      <c r="A20" s="106" t="s">
        <v>317</v>
      </c>
      <c r="B20" s="106">
        <f>B18*B19</f>
        <v>19999.999999999978</v>
      </c>
      <c r="C20"/>
      <c r="D20"/>
      <c r="E20"/>
    </row>
    <row r="21" spans="1:16" x14ac:dyDescent="0.3">
      <c r="A21" s="106" t="s">
        <v>311</v>
      </c>
      <c r="B21" s="19">
        <f>ФинПлан!G106</f>
        <v>8185.6666800000003</v>
      </c>
      <c r="C21"/>
      <c r="D21"/>
      <c r="E21"/>
    </row>
    <row r="22" spans="1:16" ht="28.8" x14ac:dyDescent="0.3">
      <c r="A22" s="37" t="s">
        <v>312</v>
      </c>
      <c r="B22" s="19">
        <f>ФинПлан!G120/6</f>
        <v>458.93333333333334</v>
      </c>
      <c r="C22"/>
      <c r="D22"/>
      <c r="E22"/>
    </row>
    <row r="23" spans="1:16" x14ac:dyDescent="0.3">
      <c r="A23" s="106" t="s">
        <v>313</v>
      </c>
      <c r="B23" s="72">
        <f>E4</f>
        <v>10939.266680000001</v>
      </c>
      <c r="C23"/>
      <c r="D23"/>
      <c r="E23"/>
    </row>
    <row r="24" spans="1:16" x14ac:dyDescent="0.3">
      <c r="A24" s="106" t="s">
        <v>314</v>
      </c>
      <c r="B24" s="72">
        <f>B20-B23</f>
        <v>9060.7333199999775</v>
      </c>
      <c r="C24"/>
      <c r="D24"/>
      <c r="E24"/>
    </row>
    <row r="25" spans="1:16" x14ac:dyDescent="0.3">
      <c r="C25"/>
      <c r="D25"/>
      <c r="E25"/>
    </row>
    <row r="26" spans="1:16" ht="14.4" customHeight="1" x14ac:dyDescent="0.3">
      <c r="C26"/>
      <c r="D26"/>
      <c r="E26"/>
      <c r="J26" s="63"/>
      <c r="K26" s="63"/>
      <c r="L26" s="63"/>
      <c r="M26" s="63"/>
      <c r="N26" s="63"/>
      <c r="O26" s="63"/>
      <c r="P26" s="63"/>
    </row>
    <row r="27" spans="1:16" x14ac:dyDescent="0.3">
      <c r="C27"/>
      <c r="D27"/>
      <c r="E27"/>
      <c r="I27" s="63"/>
      <c r="J27" s="63"/>
      <c r="K27" s="63"/>
      <c r="L27" s="63"/>
      <c r="M27" s="63"/>
      <c r="N27" s="63"/>
      <c r="O27" s="63"/>
      <c r="P27" s="63"/>
    </row>
    <row r="28" spans="1:16" ht="25.8" customHeight="1" x14ac:dyDescent="0.3">
      <c r="C28"/>
      <c r="D28"/>
      <c r="E28"/>
      <c r="I28" s="63"/>
      <c r="J28" s="63"/>
      <c r="K28" s="63"/>
      <c r="L28" s="63"/>
      <c r="M28" s="63"/>
      <c r="N28" s="63"/>
      <c r="O28" s="63"/>
      <c r="P28" s="63"/>
    </row>
    <row r="29" spans="1:16" ht="158.4" customHeight="1" x14ac:dyDescent="0.3">
      <c r="A29" s="63" t="s">
        <v>324</v>
      </c>
      <c r="C29"/>
      <c r="D29"/>
      <c r="E29"/>
      <c r="I29" s="116" t="s">
        <v>331</v>
      </c>
      <c r="J29" s="116"/>
      <c r="K29" s="116"/>
      <c r="L29" s="116"/>
      <c r="M29" s="116"/>
      <c r="N29" s="63"/>
      <c r="O29" s="63"/>
      <c r="P29" s="63"/>
    </row>
    <row r="30" spans="1:16" x14ac:dyDescent="0.3">
      <c r="A30" s="63"/>
      <c r="C30"/>
      <c r="D30"/>
      <c r="E30"/>
    </row>
    <row r="31" spans="1:16" x14ac:dyDescent="0.3">
      <c r="A31" s="63"/>
      <c r="C31"/>
      <c r="D31"/>
      <c r="E31"/>
    </row>
    <row r="32" spans="1:16" x14ac:dyDescent="0.3">
      <c r="A32" s="63"/>
      <c r="C32"/>
      <c r="D32"/>
      <c r="E32"/>
    </row>
    <row r="33" spans="1:5" x14ac:dyDescent="0.3">
      <c r="A33" s="63"/>
      <c r="C33"/>
      <c r="D33"/>
      <c r="E33"/>
    </row>
    <row r="34" spans="1:5" x14ac:dyDescent="0.3">
      <c r="A34" s="63"/>
      <c r="C34"/>
      <c r="D34"/>
      <c r="E34"/>
    </row>
    <row r="35" spans="1:5" x14ac:dyDescent="0.3">
      <c r="A35" s="63"/>
      <c r="C35"/>
      <c r="D35"/>
      <c r="E35"/>
    </row>
    <row r="36" spans="1:5" x14ac:dyDescent="0.3">
      <c r="A36" s="63"/>
      <c r="C36"/>
      <c r="D36"/>
      <c r="E36"/>
    </row>
    <row r="37" spans="1:5" x14ac:dyDescent="0.3">
      <c r="A37" s="63"/>
      <c r="C37"/>
      <c r="D37"/>
      <c r="E37"/>
    </row>
    <row r="38" spans="1:5" x14ac:dyDescent="0.3">
      <c r="A38" s="63"/>
      <c r="C38"/>
      <c r="D38"/>
      <c r="E38"/>
    </row>
    <row r="39" spans="1:5" x14ac:dyDescent="0.3">
      <c r="A39" s="63"/>
      <c r="C39"/>
      <c r="D39"/>
      <c r="E39"/>
    </row>
    <row r="40" spans="1:5" x14ac:dyDescent="0.3">
      <c r="A40" s="63"/>
      <c r="C40"/>
      <c r="D40"/>
      <c r="E40"/>
    </row>
    <row r="41" spans="1:5" x14ac:dyDescent="0.3">
      <c r="A41" s="63"/>
      <c r="C41"/>
      <c r="D41"/>
      <c r="E41"/>
    </row>
    <row r="42" spans="1:5" x14ac:dyDescent="0.3">
      <c r="A42" s="63"/>
      <c r="C42"/>
      <c r="D42"/>
      <c r="E42"/>
    </row>
    <row r="43" spans="1:5" x14ac:dyDescent="0.3">
      <c r="A43" s="63"/>
      <c r="C43"/>
      <c r="D43"/>
      <c r="E43"/>
    </row>
    <row r="44" spans="1:5" x14ac:dyDescent="0.3">
      <c r="A44" s="63"/>
      <c r="C44"/>
      <c r="D44"/>
      <c r="E44"/>
    </row>
    <row r="45" spans="1:5" x14ac:dyDescent="0.3">
      <c r="A45" s="63"/>
      <c r="C45"/>
      <c r="D45"/>
      <c r="E45"/>
    </row>
    <row r="46" spans="1:5" x14ac:dyDescent="0.3">
      <c r="A46" s="63"/>
      <c r="C46"/>
      <c r="D46"/>
      <c r="E46"/>
    </row>
    <row r="47" spans="1:5" x14ac:dyDescent="0.3">
      <c r="A47" s="63"/>
      <c r="C47"/>
      <c r="D47"/>
      <c r="E47"/>
    </row>
    <row r="48" spans="1:5" x14ac:dyDescent="0.3">
      <c r="A48" s="63"/>
      <c r="C48"/>
      <c r="D48"/>
      <c r="E48"/>
    </row>
    <row r="49" spans="1:13" x14ac:dyDescent="0.3">
      <c r="A49" s="63"/>
      <c r="C49"/>
      <c r="D49"/>
      <c r="E49"/>
    </row>
    <row r="50" spans="1:13" ht="195" customHeight="1" x14ac:dyDescent="0.3">
      <c r="A50" s="63"/>
      <c r="C50"/>
      <c r="D50"/>
      <c r="E50"/>
      <c r="I50" s="116" t="s">
        <v>330</v>
      </c>
      <c r="J50" s="116"/>
      <c r="K50" s="116"/>
      <c r="L50" s="116"/>
      <c r="M50" s="116"/>
    </row>
    <row r="51" spans="1:13" x14ac:dyDescent="0.3">
      <c r="A51" s="63"/>
      <c r="C51"/>
      <c r="D51"/>
      <c r="E51"/>
    </row>
    <row r="52" spans="1:13" x14ac:dyDescent="0.3">
      <c r="A52" s="63"/>
      <c r="C52"/>
      <c r="D52"/>
      <c r="E52"/>
    </row>
    <row r="53" spans="1:13" x14ac:dyDescent="0.3">
      <c r="A53" s="63"/>
      <c r="C53"/>
      <c r="D53"/>
      <c r="E53"/>
    </row>
    <row r="54" spans="1:13" x14ac:dyDescent="0.3">
      <c r="A54" s="63"/>
      <c r="C54"/>
      <c r="D54"/>
      <c r="E54"/>
    </row>
    <row r="55" spans="1:13" x14ac:dyDescent="0.3">
      <c r="A55" s="63"/>
      <c r="C55"/>
      <c r="D55"/>
      <c r="E55"/>
    </row>
    <row r="56" spans="1:13" x14ac:dyDescent="0.3">
      <c r="A56" s="63"/>
      <c r="C56"/>
      <c r="D56"/>
      <c r="E56"/>
    </row>
    <row r="57" spans="1:13" x14ac:dyDescent="0.3">
      <c r="A57" s="63"/>
      <c r="C57"/>
      <c r="D57"/>
      <c r="E57"/>
    </row>
    <row r="58" spans="1:13" x14ac:dyDescent="0.3">
      <c r="A58" s="63"/>
      <c r="C58"/>
      <c r="D58"/>
      <c r="E58"/>
    </row>
    <row r="59" spans="1:13" x14ac:dyDescent="0.3">
      <c r="A59" s="63"/>
      <c r="C59"/>
      <c r="D59"/>
      <c r="E59"/>
    </row>
    <row r="60" spans="1:13" x14ac:dyDescent="0.3">
      <c r="A60" s="63"/>
      <c r="C60"/>
      <c r="D60"/>
      <c r="E60"/>
    </row>
    <row r="61" spans="1:13" x14ac:dyDescent="0.3">
      <c r="A61" s="63"/>
      <c r="C61"/>
      <c r="D61"/>
      <c r="E61"/>
    </row>
    <row r="62" spans="1:13" x14ac:dyDescent="0.3">
      <c r="A62" s="63"/>
      <c r="C62"/>
      <c r="D62"/>
      <c r="E62"/>
    </row>
    <row r="63" spans="1:13" x14ac:dyDescent="0.3">
      <c r="A63" s="63"/>
      <c r="C63"/>
      <c r="D63"/>
      <c r="E63"/>
    </row>
    <row r="64" spans="1:13" x14ac:dyDescent="0.3">
      <c r="A64" s="63"/>
      <c r="C64"/>
      <c r="D64"/>
      <c r="E64"/>
    </row>
    <row r="65" spans="1:5" x14ac:dyDescent="0.3">
      <c r="A65" s="63"/>
      <c r="C65"/>
      <c r="D65"/>
      <c r="E65"/>
    </row>
    <row r="66" spans="1:5" x14ac:dyDescent="0.3">
      <c r="A66" s="63"/>
      <c r="C66"/>
      <c r="D66"/>
      <c r="E66"/>
    </row>
    <row r="67" spans="1:5" x14ac:dyDescent="0.3">
      <c r="A67" s="63"/>
      <c r="C67"/>
      <c r="D67"/>
      <c r="E67"/>
    </row>
    <row r="68" spans="1:5" x14ac:dyDescent="0.3">
      <c r="A68" s="63"/>
      <c r="C68"/>
      <c r="D68"/>
      <c r="E68"/>
    </row>
    <row r="69" spans="1:5" x14ac:dyDescent="0.3">
      <c r="A69" s="63"/>
      <c r="C69"/>
      <c r="D69"/>
      <c r="E69"/>
    </row>
    <row r="70" spans="1:5" x14ac:dyDescent="0.3">
      <c r="A70" s="63"/>
      <c r="C70"/>
      <c r="D70"/>
      <c r="E70"/>
    </row>
    <row r="71" spans="1:5" x14ac:dyDescent="0.3">
      <c r="A71" s="12"/>
    </row>
    <row r="72" spans="1:5" x14ac:dyDescent="0.3">
      <c r="A72" s="12"/>
    </row>
    <row r="73" spans="1:5" x14ac:dyDescent="0.3">
      <c r="A73" s="12"/>
    </row>
    <row r="87" spans="1:7" x14ac:dyDescent="0.3">
      <c r="A87" s="155" t="s">
        <v>297</v>
      </c>
      <c r="B87" s="156"/>
      <c r="C87" s="156"/>
      <c r="D87" s="156"/>
      <c r="E87" s="156"/>
      <c r="F87" s="155"/>
    </row>
    <row r="89" spans="1:7" x14ac:dyDescent="0.3">
      <c r="B89" s="175" t="s">
        <v>298</v>
      </c>
      <c r="C89" s="175"/>
      <c r="D89" s="175"/>
      <c r="E89" s="175"/>
      <c r="F89" s="175"/>
    </row>
    <row r="90" spans="1:7" x14ac:dyDescent="0.3">
      <c r="B90" s="158" t="s">
        <v>308</v>
      </c>
      <c r="C90" s="72">
        <f>B7</f>
        <v>-2694.0540000000001</v>
      </c>
      <c r="D90" s="72">
        <f>C7</f>
        <v>2383.80602</v>
      </c>
      <c r="E90" s="72">
        <f>D7</f>
        <v>2179.8733200000006</v>
      </c>
      <c r="F90" s="72">
        <f>E7</f>
        <v>8460.7333199999994</v>
      </c>
    </row>
    <row r="91" spans="1:7" x14ac:dyDescent="0.3">
      <c r="B91" s="158" t="s">
        <v>291</v>
      </c>
      <c r="C91" s="11">
        <v>1</v>
      </c>
      <c r="D91" s="11">
        <v>2</v>
      </c>
      <c r="E91" s="11">
        <v>3</v>
      </c>
      <c r="F91" s="11">
        <v>4</v>
      </c>
    </row>
    <row r="92" spans="1:7" ht="31.8" customHeight="1" x14ac:dyDescent="0.3">
      <c r="B92" s="171" t="s">
        <v>292</v>
      </c>
      <c r="C92" s="148">
        <v>1.3</v>
      </c>
      <c r="D92" s="148">
        <v>1.3</v>
      </c>
      <c r="E92" s="11">
        <v>1.3</v>
      </c>
      <c r="F92" s="11">
        <v>1.3</v>
      </c>
    </row>
    <row r="93" spans="1:7" x14ac:dyDescent="0.3">
      <c r="B93" s="158" t="s">
        <v>293</v>
      </c>
      <c r="C93" s="18">
        <f>C90/(C92^C91)</f>
        <v>-2072.3492307692309</v>
      </c>
      <c r="D93" s="11">
        <f t="shared" ref="D93" si="2">D90/(D92^D91)</f>
        <v>1410.5361065088755</v>
      </c>
      <c r="E93" s="11">
        <f>E90/(E92^E91)</f>
        <v>992.2045152480656</v>
      </c>
      <c r="F93" s="11">
        <f>F90/(F92^F91)</f>
        <v>2962.3379153390979</v>
      </c>
    </row>
    <row r="94" spans="1:7" x14ac:dyDescent="0.3">
      <c r="B94" s="158" t="s">
        <v>294</v>
      </c>
      <c r="C94" s="157">
        <f>SUM(C93:F93)-3000</f>
        <v>292.729306326808</v>
      </c>
      <c r="D94" s="158"/>
      <c r="E94" s="158"/>
      <c r="F94" s="158"/>
    </row>
    <row r="95" spans="1:7" ht="14.4" customHeight="1" x14ac:dyDescent="0.3">
      <c r="B95" s="182" t="s">
        <v>319</v>
      </c>
      <c r="C95" s="182"/>
      <c r="D95" s="182"/>
      <c r="E95" s="182"/>
      <c r="F95" s="182"/>
      <c r="G95" s="182"/>
    </row>
    <row r="96" spans="1:7" x14ac:dyDescent="0.3">
      <c r="B96" s="182"/>
      <c r="C96" s="182"/>
      <c r="D96" s="182"/>
      <c r="E96" s="182"/>
      <c r="F96" s="182"/>
      <c r="G96" s="182"/>
    </row>
    <row r="97" spans="2:7" x14ac:dyDescent="0.3">
      <c r="B97" s="182"/>
      <c r="C97" s="182"/>
      <c r="D97" s="182"/>
      <c r="E97" s="182"/>
      <c r="F97" s="182"/>
      <c r="G97" s="182"/>
    </row>
    <row r="98" spans="2:7" x14ac:dyDescent="0.3">
      <c r="B98" s="182"/>
      <c r="C98" s="182"/>
      <c r="D98" s="182"/>
      <c r="E98" s="182"/>
      <c r="F98" s="182"/>
      <c r="G98" s="182"/>
    </row>
    <row r="99" spans="2:7" x14ac:dyDescent="0.3">
      <c r="B99" s="182"/>
      <c r="C99" s="182"/>
      <c r="D99" s="182"/>
      <c r="E99" s="182"/>
      <c r="F99" s="182"/>
      <c r="G99" s="182"/>
    </row>
    <row r="100" spans="2:7" x14ac:dyDescent="0.3">
      <c r="B100" s="182"/>
      <c r="C100" s="182"/>
      <c r="D100" s="182"/>
      <c r="E100" s="182"/>
      <c r="F100" s="182"/>
      <c r="G100" s="182"/>
    </row>
    <row r="101" spans="2:7" x14ac:dyDescent="0.3">
      <c r="B101" s="183"/>
      <c r="C101" s="183"/>
      <c r="D101" s="183"/>
      <c r="E101" s="183"/>
      <c r="F101" s="183"/>
      <c r="G101" s="183"/>
    </row>
    <row r="102" spans="2:7" x14ac:dyDescent="0.3">
      <c r="B102" s="174" t="s">
        <v>299</v>
      </c>
      <c r="C102" s="174"/>
      <c r="D102" s="174"/>
      <c r="E102" s="174"/>
      <c r="F102" s="174"/>
    </row>
    <row r="103" spans="2:7" x14ac:dyDescent="0.3">
      <c r="B103" s="160" t="s">
        <v>295</v>
      </c>
      <c r="C103" s="161" t="s">
        <v>300</v>
      </c>
      <c r="D103" s="161"/>
      <c r="E103" s="161" t="s">
        <v>301</v>
      </c>
      <c r="F103" s="161"/>
      <c r="G103" s="159"/>
    </row>
    <row r="104" spans="2:7" x14ac:dyDescent="0.3">
      <c r="B104" s="106">
        <v>1</v>
      </c>
      <c r="C104" s="165">
        <f>-3000+B7</f>
        <v>-5694.0540000000001</v>
      </c>
      <c r="D104" s="166"/>
      <c r="E104" s="162">
        <f>C93</f>
        <v>-2072.3492307692309</v>
      </c>
      <c r="F104" s="163">
        <f>-3000+E104</f>
        <v>-5072.3492307692304</v>
      </c>
    </row>
    <row r="105" spans="2:7" x14ac:dyDescent="0.3">
      <c r="B105" s="106">
        <v>2</v>
      </c>
      <c r="C105" s="167">
        <f>C104+C7</f>
        <v>-3310.2479800000001</v>
      </c>
      <c r="D105" s="168"/>
      <c r="E105" s="1">
        <f>D93</f>
        <v>1410.5361065088755</v>
      </c>
      <c r="F105" s="163">
        <f>F104+E105</f>
        <v>-3661.8131242603549</v>
      </c>
    </row>
    <row r="106" spans="2:7" x14ac:dyDescent="0.3">
      <c r="B106" s="106">
        <v>3</v>
      </c>
      <c r="C106" s="167">
        <f>D7+C105</f>
        <v>-1130.3746599999995</v>
      </c>
      <c r="D106" s="168"/>
      <c r="E106" s="1">
        <f>E93</f>
        <v>992.2045152480656</v>
      </c>
      <c r="F106" s="163">
        <f>F105+E106</f>
        <v>-2669.6086090122894</v>
      </c>
    </row>
    <row r="107" spans="2:7" x14ac:dyDescent="0.3">
      <c r="B107" s="106">
        <v>4</v>
      </c>
      <c r="C107" s="167">
        <f>C106+E7</f>
        <v>7330.3586599999999</v>
      </c>
      <c r="D107" s="168"/>
      <c r="E107" s="1">
        <f>F93</f>
        <v>2962.3379153390979</v>
      </c>
      <c r="F107" s="163">
        <f>F106+E107</f>
        <v>292.72930632680846</v>
      </c>
    </row>
    <row r="108" spans="2:7" x14ac:dyDescent="0.3">
      <c r="C108"/>
      <c r="D108"/>
      <c r="E108"/>
    </row>
    <row r="109" spans="2:7" x14ac:dyDescent="0.3">
      <c r="B109" s="105" t="s">
        <v>302</v>
      </c>
      <c r="C109" s="164">
        <f>2+(-(C105/D7))</f>
        <v>3.5185506192625908</v>
      </c>
      <c r="E109" s="164">
        <f>3+(-(F106/F93))</f>
        <v>3.901183013318283</v>
      </c>
    </row>
    <row r="110" spans="2:7" ht="14.4" customHeight="1" x14ac:dyDescent="0.3">
      <c r="B110" s="116" t="s">
        <v>320</v>
      </c>
      <c r="C110" s="116"/>
      <c r="D110" s="116"/>
      <c r="E110" s="116"/>
      <c r="F110" s="116"/>
      <c r="G110" s="116"/>
    </row>
    <row r="111" spans="2:7" x14ac:dyDescent="0.3">
      <c r="B111" s="116"/>
      <c r="C111" s="116"/>
      <c r="D111" s="116"/>
      <c r="E111" s="116"/>
      <c r="F111" s="116"/>
      <c r="G111" s="116"/>
    </row>
    <row r="112" spans="2:7" x14ac:dyDescent="0.3">
      <c r="B112" s="116"/>
      <c r="C112" s="116"/>
      <c r="D112" s="116"/>
      <c r="E112" s="116"/>
      <c r="F112" s="116"/>
      <c r="G112" s="116"/>
    </row>
    <row r="113" spans="2:7" x14ac:dyDescent="0.3">
      <c r="B113" s="116"/>
      <c r="C113" s="116"/>
      <c r="D113" s="116"/>
      <c r="E113" s="116"/>
      <c r="F113" s="116"/>
      <c r="G113" s="116"/>
    </row>
    <row r="114" spans="2:7" x14ac:dyDescent="0.3">
      <c r="B114" s="116"/>
      <c r="C114" s="116"/>
      <c r="D114" s="116"/>
      <c r="E114" s="116"/>
      <c r="F114" s="116"/>
      <c r="G114" s="116"/>
    </row>
    <row r="115" spans="2:7" x14ac:dyDescent="0.3">
      <c r="B115" s="174" t="s">
        <v>224</v>
      </c>
      <c r="C115" s="174"/>
      <c r="D115" s="174"/>
      <c r="E115" s="174"/>
      <c r="F115" s="174"/>
    </row>
    <row r="116" spans="2:7" x14ac:dyDescent="0.3">
      <c r="B116" t="s">
        <v>303</v>
      </c>
      <c r="C116" s="105" t="s">
        <v>304</v>
      </c>
    </row>
    <row r="117" spans="2:7" x14ac:dyDescent="0.3">
      <c r="B117" s="169">
        <f>SUM(C93:F93)</f>
        <v>3292.729306326808</v>
      </c>
      <c r="C117" s="176">
        <f>B117/3000</f>
        <v>1.0975764354422692</v>
      </c>
    </row>
    <row r="118" spans="2:7" s="60" customFormat="1" ht="14.4" customHeight="1" x14ac:dyDescent="0.3">
      <c r="B118" s="184" t="s">
        <v>321</v>
      </c>
      <c r="C118" s="184"/>
      <c r="D118" s="184"/>
      <c r="E118" s="184"/>
      <c r="F118" s="184"/>
    </row>
    <row r="119" spans="2:7" s="60" customFormat="1" x14ac:dyDescent="0.3">
      <c r="B119" s="184"/>
      <c r="C119" s="184"/>
      <c r="D119" s="184"/>
      <c r="E119" s="184"/>
      <c r="F119" s="184"/>
    </row>
    <row r="120" spans="2:7" s="60" customFormat="1" x14ac:dyDescent="0.3">
      <c r="B120" s="184"/>
      <c r="C120" s="184"/>
      <c r="D120" s="184"/>
      <c r="E120" s="184"/>
      <c r="F120" s="184"/>
    </row>
    <row r="121" spans="2:7" ht="15.6" customHeight="1" x14ac:dyDescent="0.3">
      <c r="B121" s="184"/>
      <c r="C121" s="184"/>
      <c r="D121" s="184"/>
      <c r="E121" s="184"/>
      <c r="F121" s="184"/>
    </row>
    <row r="122" spans="2:7" x14ac:dyDescent="0.3">
      <c r="B122" s="184"/>
      <c r="C122" s="184"/>
      <c r="D122" s="184"/>
      <c r="E122" s="184"/>
      <c r="F122" s="184"/>
    </row>
    <row r="124" spans="2:7" x14ac:dyDescent="0.3">
      <c r="B124" s="155" t="s">
        <v>225</v>
      </c>
    </row>
    <row r="125" spans="2:7" ht="28.8" x14ac:dyDescent="0.3">
      <c r="B125" s="170" t="s">
        <v>305</v>
      </c>
      <c r="C125" s="112">
        <f>SUM(B7:E7)/4</f>
        <v>2582.589665</v>
      </c>
    </row>
    <row r="126" spans="2:7" x14ac:dyDescent="0.3">
      <c r="B126" t="s">
        <v>225</v>
      </c>
      <c r="C126" s="176">
        <f>C125/3000*100</f>
        <v>86.086322166666662</v>
      </c>
      <c r="D126" s="112"/>
    </row>
    <row r="127" spans="2:7" x14ac:dyDescent="0.3">
      <c r="B127" t="s">
        <v>306</v>
      </c>
    </row>
    <row r="128" spans="2:7" x14ac:dyDescent="0.3">
      <c r="B128" t="s">
        <v>307</v>
      </c>
    </row>
    <row r="130" spans="2:7" x14ac:dyDescent="0.3">
      <c r="B130" s="173" t="s">
        <v>226</v>
      </c>
    </row>
    <row r="131" spans="2:7" x14ac:dyDescent="0.3">
      <c r="B131" s="172">
        <f>IRR(B132:F132)</f>
        <v>0.32561135772395211</v>
      </c>
    </row>
    <row r="132" spans="2:7" x14ac:dyDescent="0.3">
      <c r="B132" s="105">
        <v>-3000</v>
      </c>
      <c r="C132" s="112">
        <f>C90</f>
        <v>-2694.0540000000001</v>
      </c>
      <c r="D132" s="112">
        <f>D90</f>
        <v>2383.80602</v>
      </c>
      <c r="E132" s="112">
        <f>E90</f>
        <v>2179.8733200000006</v>
      </c>
      <c r="F132" s="112">
        <f>F90</f>
        <v>8460.7333199999994</v>
      </c>
    </row>
    <row r="133" spans="2:7" ht="14.4" customHeight="1" x14ac:dyDescent="0.3">
      <c r="B133" s="120" t="s">
        <v>322</v>
      </c>
      <c r="C133" s="120"/>
      <c r="D133" s="120"/>
      <c r="E133" s="120"/>
      <c r="F133" s="120"/>
      <c r="G133" s="120"/>
    </row>
    <row r="134" spans="2:7" x14ac:dyDescent="0.3">
      <c r="B134" s="120"/>
      <c r="C134" s="120"/>
      <c r="D134" s="120"/>
      <c r="E134" s="120"/>
      <c r="F134" s="120"/>
      <c r="G134" s="120"/>
    </row>
    <row r="135" spans="2:7" x14ac:dyDescent="0.3">
      <c r="B135" s="120"/>
      <c r="C135" s="120"/>
      <c r="D135" s="120"/>
      <c r="E135" s="120"/>
      <c r="F135" s="120"/>
      <c r="G135" s="120"/>
    </row>
    <row r="136" spans="2:7" x14ac:dyDescent="0.3">
      <c r="B136" s="61"/>
      <c r="C136" s="61"/>
      <c r="D136" s="61"/>
      <c r="E136" s="61"/>
      <c r="F136" s="61"/>
      <c r="G136" s="61"/>
    </row>
    <row r="137" spans="2:7" x14ac:dyDescent="0.3">
      <c r="B137" s="173" t="s">
        <v>227</v>
      </c>
    </row>
    <row r="138" spans="2:7" x14ac:dyDescent="0.3">
      <c r="B138" s="176">
        <f>F90-3000*0.3</f>
        <v>7560.7333199999994</v>
      </c>
    </row>
    <row r="139" spans="2:7" ht="14.4" customHeight="1" x14ac:dyDescent="0.3">
      <c r="B139" s="120" t="s">
        <v>323</v>
      </c>
      <c r="C139" s="120"/>
      <c r="D139" s="120"/>
      <c r="E139" s="120"/>
      <c r="F139" s="120"/>
      <c r="G139" s="120"/>
    </row>
    <row r="140" spans="2:7" x14ac:dyDescent="0.3">
      <c r="B140" s="120"/>
      <c r="C140" s="120"/>
      <c r="D140" s="120"/>
      <c r="E140" s="120"/>
      <c r="F140" s="120"/>
      <c r="G140" s="120"/>
    </row>
    <row r="141" spans="2:7" x14ac:dyDescent="0.3">
      <c r="B141" s="120"/>
      <c r="C141" s="120"/>
      <c r="D141" s="120"/>
      <c r="E141" s="120"/>
      <c r="F141" s="120"/>
      <c r="G141" s="120"/>
    </row>
    <row r="142" spans="2:7" x14ac:dyDescent="0.3">
      <c r="B142" s="120"/>
      <c r="C142" s="120"/>
      <c r="D142" s="120"/>
      <c r="E142" s="120"/>
      <c r="F142" s="120"/>
      <c r="G142" s="120"/>
    </row>
    <row r="143" spans="2:7" x14ac:dyDescent="0.3">
      <c r="B143" s="120"/>
      <c r="C143" s="120"/>
      <c r="D143" s="120"/>
      <c r="E143" s="120"/>
      <c r="F143" s="120"/>
      <c r="G143" s="120"/>
    </row>
    <row r="144" spans="2:7" x14ac:dyDescent="0.3">
      <c r="B144" s="120"/>
      <c r="C144" s="120"/>
      <c r="D144" s="120"/>
      <c r="E144" s="120"/>
      <c r="F144" s="120"/>
      <c r="G144" s="120"/>
    </row>
    <row r="145" spans="2:7" x14ac:dyDescent="0.3">
      <c r="B145" s="120"/>
      <c r="C145" s="120"/>
      <c r="D145" s="120"/>
      <c r="E145" s="120"/>
      <c r="F145" s="120"/>
      <c r="G145" s="120"/>
    </row>
    <row r="146" spans="2:7" x14ac:dyDescent="0.3">
      <c r="B146" s="120"/>
      <c r="C146" s="120"/>
      <c r="D146" s="120"/>
      <c r="E146" s="120"/>
      <c r="F146" s="120"/>
      <c r="G146" s="120"/>
    </row>
    <row r="147" spans="2:7" x14ac:dyDescent="0.3">
      <c r="B147" s="120"/>
      <c r="C147" s="120"/>
      <c r="D147" s="120"/>
      <c r="E147" s="120"/>
      <c r="F147" s="120"/>
      <c r="G147" s="120"/>
    </row>
    <row r="148" spans="2:7" x14ac:dyDescent="0.3">
      <c r="B148" s="61"/>
      <c r="C148" s="61"/>
      <c r="D148" s="61"/>
      <c r="E148" s="61"/>
      <c r="F148" s="61"/>
      <c r="G148" s="61"/>
    </row>
    <row r="173" spans="1:3" x14ac:dyDescent="0.3">
      <c r="A173" t="s">
        <v>325</v>
      </c>
      <c r="C173" t="s">
        <v>327</v>
      </c>
    </row>
    <row r="174" spans="1:3" ht="409.6" x14ac:dyDescent="0.3">
      <c r="A174" s="186" t="s">
        <v>326</v>
      </c>
      <c r="C174" s="186" t="s">
        <v>328</v>
      </c>
    </row>
  </sheetData>
  <mergeCells count="20">
    <mergeCell ref="B118:F122"/>
    <mergeCell ref="I29:M29"/>
    <mergeCell ref="I50:M50"/>
    <mergeCell ref="B133:G135"/>
    <mergeCell ref="B139:G147"/>
    <mergeCell ref="B95:G100"/>
    <mergeCell ref="C104:D104"/>
    <mergeCell ref="C105:D105"/>
    <mergeCell ref="C106:D106"/>
    <mergeCell ref="C107:D107"/>
    <mergeCell ref="B115:F115"/>
    <mergeCell ref="B110:G114"/>
    <mergeCell ref="B102:F102"/>
    <mergeCell ref="E103:F103"/>
    <mergeCell ref="C103:D103"/>
    <mergeCell ref="G1:I1"/>
    <mergeCell ref="A1:E1"/>
    <mergeCell ref="B89:F89"/>
    <mergeCell ref="D17:H19"/>
    <mergeCell ref="A15:I15"/>
  </mergeCells>
  <phoneticPr fontId="5" type="noConversion"/>
  <pageMargins left="0.7" right="0.7" top="0.75" bottom="0.75" header="0.3" footer="0.3"/>
  <ignoredErrors>
    <ignoredError sqref="E6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0011F-E6CA-4CD0-9350-28F355847F50}">
  <dimension ref="A1:Y183"/>
  <sheetViews>
    <sheetView zoomScale="85" zoomScaleNormal="85" workbookViewId="0">
      <selection activeCell="O21" sqref="O21"/>
    </sheetView>
  </sheetViews>
  <sheetFormatPr defaultRowHeight="14.4" x14ac:dyDescent="0.3"/>
  <cols>
    <col min="4" max="5" width="14.44140625" bestFit="1" customWidth="1"/>
    <col min="6" max="6" width="14.109375" bestFit="1" customWidth="1"/>
    <col min="7" max="7" width="8.88671875" customWidth="1"/>
    <col min="8" max="8" width="15.5546875" customWidth="1"/>
  </cols>
  <sheetData>
    <row r="1" spans="1:6" x14ac:dyDescent="0.3">
      <c r="A1" s="65" t="s">
        <v>172</v>
      </c>
      <c r="B1" s="65"/>
      <c r="C1" s="65"/>
      <c r="D1" s="65"/>
      <c r="E1" s="66">
        <v>3875000</v>
      </c>
    </row>
    <row r="2" spans="1:6" x14ac:dyDescent="0.3">
      <c r="A2" s="65" t="s">
        <v>145</v>
      </c>
      <c r="B2" s="65"/>
      <c r="C2" s="65"/>
      <c r="D2" s="87" t="s">
        <v>180</v>
      </c>
      <c r="E2" s="87"/>
      <c r="F2" s="87" t="s">
        <v>181</v>
      </c>
    </row>
    <row r="3" spans="1:6" x14ac:dyDescent="0.3">
      <c r="A3" s="65" t="s">
        <v>116</v>
      </c>
      <c r="B3" s="65"/>
      <c r="C3" s="65"/>
      <c r="D3" s="66">
        <v>4382878.4400000004</v>
      </c>
      <c r="E3" s="65"/>
      <c r="F3" s="66">
        <v>6067016.6699999999</v>
      </c>
    </row>
    <row r="4" spans="1:6" x14ac:dyDescent="0.3">
      <c r="A4" s="65" t="s">
        <v>117</v>
      </c>
      <c r="B4" s="65"/>
      <c r="C4" s="65"/>
      <c r="D4" s="66">
        <v>2195000</v>
      </c>
      <c r="E4" s="65"/>
      <c r="F4" s="66">
        <v>1938100</v>
      </c>
    </row>
    <row r="5" spans="1:6" x14ac:dyDescent="0.3">
      <c r="A5" s="65"/>
      <c r="B5" s="65"/>
      <c r="C5" s="65"/>
      <c r="D5" s="65"/>
      <c r="E5" s="65"/>
    </row>
    <row r="6" spans="1:6" x14ac:dyDescent="0.3">
      <c r="A6" s="65"/>
      <c r="B6" s="65"/>
      <c r="C6" s="65"/>
      <c r="D6" s="66"/>
      <c r="E6" s="65"/>
    </row>
    <row r="7" spans="1:6" x14ac:dyDescent="0.3">
      <c r="A7" s="65" t="s">
        <v>143</v>
      </c>
      <c r="B7" s="65"/>
      <c r="C7" s="65"/>
      <c r="D7" s="65"/>
      <c r="E7" s="66">
        <f>(D3+(F3/2))</f>
        <v>7416386.7750000004</v>
      </c>
    </row>
    <row r="8" spans="1:6" x14ac:dyDescent="0.3">
      <c r="A8" s="65" t="s">
        <v>144</v>
      </c>
      <c r="B8" s="65"/>
      <c r="C8" s="65"/>
      <c r="D8" s="65"/>
      <c r="E8" s="66">
        <f>(D4+(F4/2))</f>
        <v>3164050</v>
      </c>
    </row>
    <row r="9" spans="1:6" x14ac:dyDescent="0.3">
      <c r="A9" s="65"/>
      <c r="B9" s="65"/>
      <c r="C9" s="65"/>
      <c r="D9" s="65"/>
      <c r="E9" s="66"/>
    </row>
    <row r="10" spans="1:6" x14ac:dyDescent="0.3">
      <c r="A10" s="65"/>
      <c r="B10" s="65"/>
      <c r="C10" s="65"/>
      <c r="D10" s="65"/>
      <c r="E10" s="66"/>
    </row>
    <row r="11" spans="1:6" x14ac:dyDescent="0.3">
      <c r="A11" s="65"/>
      <c r="B11" s="65"/>
      <c r="C11" s="65"/>
      <c r="D11" s="65"/>
      <c r="E11" s="66"/>
    </row>
    <row r="12" spans="1:6" x14ac:dyDescent="0.3">
      <c r="A12" s="65"/>
      <c r="B12" s="65"/>
      <c r="C12" s="65"/>
      <c r="D12" s="65"/>
      <c r="E12" s="66"/>
    </row>
    <row r="13" spans="1:6" x14ac:dyDescent="0.3">
      <c r="A13" s="65"/>
      <c r="B13" s="65"/>
      <c r="C13" s="65"/>
      <c r="D13" s="65"/>
      <c r="E13" s="66"/>
    </row>
    <row r="14" spans="1:6" x14ac:dyDescent="0.3">
      <c r="A14" s="65"/>
      <c r="B14" s="65"/>
      <c r="C14" s="65"/>
      <c r="D14" s="65"/>
      <c r="E14" s="66"/>
    </row>
    <row r="15" spans="1:6" x14ac:dyDescent="0.3">
      <c r="A15" s="65"/>
      <c r="B15" s="65"/>
      <c r="C15" s="65"/>
      <c r="D15" s="65"/>
      <c r="E15" s="66"/>
    </row>
    <row r="16" spans="1:6" x14ac:dyDescent="0.3">
      <c r="A16" s="65"/>
      <c r="B16" s="65"/>
      <c r="C16" s="65"/>
      <c r="D16" s="65"/>
      <c r="E16" s="66"/>
    </row>
    <row r="17" spans="1:5" x14ac:dyDescent="0.3">
      <c r="A17" s="65"/>
      <c r="B17" s="65"/>
      <c r="C17" s="65"/>
      <c r="D17" s="65"/>
      <c r="E17" s="66"/>
    </row>
    <row r="18" spans="1:5" x14ac:dyDescent="0.3">
      <c r="A18" s="65"/>
      <c r="B18" s="65"/>
      <c r="C18" s="65"/>
      <c r="D18" s="65"/>
      <c r="E18" s="66"/>
    </row>
    <row r="19" spans="1:5" x14ac:dyDescent="0.3">
      <c r="A19" s="65"/>
      <c r="B19" s="65"/>
      <c r="C19" s="65"/>
      <c r="D19" s="65"/>
      <c r="E19" s="66"/>
    </row>
    <row r="20" spans="1:5" x14ac:dyDescent="0.3">
      <c r="A20" s="65"/>
      <c r="B20" s="65"/>
      <c r="C20" s="65"/>
      <c r="D20" s="65"/>
      <c r="E20" s="66"/>
    </row>
    <row r="21" spans="1:5" x14ac:dyDescent="0.3">
      <c r="A21" s="65"/>
      <c r="B21" s="65"/>
      <c r="C21" s="65"/>
      <c r="D21" s="65"/>
      <c r="E21" s="66"/>
    </row>
    <row r="22" spans="1:5" x14ac:dyDescent="0.3">
      <c r="A22" s="65"/>
      <c r="B22" s="65"/>
      <c r="C22" s="65"/>
      <c r="D22" s="65"/>
      <c r="E22" s="66"/>
    </row>
    <row r="23" spans="1:5" x14ac:dyDescent="0.3">
      <c r="A23" s="65"/>
      <c r="B23" s="65"/>
      <c r="C23" s="65"/>
      <c r="D23" s="65"/>
      <c r="E23" s="66"/>
    </row>
    <row r="24" spans="1:5" x14ac:dyDescent="0.3">
      <c r="A24" s="65"/>
      <c r="B24" s="65"/>
      <c r="C24" s="65"/>
      <c r="D24" s="65"/>
      <c r="E24" s="66"/>
    </row>
    <row r="25" spans="1:5" x14ac:dyDescent="0.3">
      <c r="A25" s="65"/>
      <c r="B25" s="65"/>
      <c r="C25" s="65"/>
      <c r="D25" s="65"/>
      <c r="E25" s="66"/>
    </row>
    <row r="26" spans="1:5" x14ac:dyDescent="0.3">
      <c r="A26" s="65"/>
      <c r="B26" s="65"/>
      <c r="C26" s="65"/>
      <c r="D26" s="65"/>
      <c r="E26" s="66"/>
    </row>
    <row r="27" spans="1:5" x14ac:dyDescent="0.3">
      <c r="A27" s="65"/>
      <c r="B27" s="65"/>
      <c r="C27" s="65"/>
      <c r="D27" s="65"/>
      <c r="E27" s="66"/>
    </row>
    <row r="28" spans="1:5" x14ac:dyDescent="0.3">
      <c r="A28" s="65"/>
      <c r="B28" s="65"/>
      <c r="C28" s="65"/>
      <c r="D28" s="65"/>
      <c r="E28" s="66"/>
    </row>
    <row r="29" spans="1:5" x14ac:dyDescent="0.3">
      <c r="A29" s="65"/>
      <c r="B29" s="65"/>
      <c r="C29" s="65"/>
      <c r="D29" s="65"/>
      <c r="E29" s="66"/>
    </row>
    <row r="30" spans="1:5" x14ac:dyDescent="0.3">
      <c r="A30" s="65"/>
      <c r="B30" s="65"/>
      <c r="C30" s="65"/>
      <c r="D30" s="65"/>
      <c r="E30" s="66"/>
    </row>
    <row r="31" spans="1:5" x14ac:dyDescent="0.3">
      <c r="A31" s="65"/>
      <c r="B31" s="65"/>
      <c r="C31" s="65"/>
      <c r="D31" s="65"/>
      <c r="E31" s="66"/>
    </row>
    <row r="32" spans="1:5" x14ac:dyDescent="0.3">
      <c r="A32" s="65"/>
      <c r="B32" s="65"/>
      <c r="C32" s="65"/>
      <c r="D32" s="65"/>
      <c r="E32" s="66"/>
    </row>
    <row r="33" spans="1:5" x14ac:dyDescent="0.3">
      <c r="A33" s="65"/>
      <c r="B33" s="65"/>
      <c r="C33" s="65"/>
      <c r="D33" s="65"/>
      <c r="E33" s="66"/>
    </row>
    <row r="34" spans="1:5" x14ac:dyDescent="0.3">
      <c r="A34" t="s">
        <v>268</v>
      </c>
      <c r="B34" s="65"/>
      <c r="C34" s="65"/>
      <c r="D34" s="65"/>
      <c r="E34" s="66"/>
    </row>
    <row r="35" spans="1:5" x14ac:dyDescent="0.3">
      <c r="A35" s="187" t="s">
        <v>329</v>
      </c>
      <c r="B35" s="65"/>
      <c r="C35" s="65"/>
      <c r="D35" s="65"/>
      <c r="E35" s="66"/>
    </row>
    <row r="36" spans="1:5" x14ac:dyDescent="0.3">
      <c r="A36" s="65"/>
      <c r="B36" s="65"/>
      <c r="C36" s="65"/>
      <c r="D36" s="65"/>
      <c r="E36" s="66"/>
    </row>
    <row r="37" spans="1:5" x14ac:dyDescent="0.3">
      <c r="A37" s="65"/>
      <c r="B37" s="65"/>
      <c r="C37" s="65"/>
      <c r="D37" s="65"/>
      <c r="E37" s="66"/>
    </row>
    <row r="38" spans="1:5" x14ac:dyDescent="0.3">
      <c r="A38" s="65"/>
      <c r="B38" s="65"/>
      <c r="C38" s="65"/>
      <c r="D38" s="65"/>
      <c r="E38" s="66"/>
    </row>
    <row r="39" spans="1:5" x14ac:dyDescent="0.3">
      <c r="A39" s="65"/>
      <c r="B39" s="65"/>
      <c r="C39" s="65"/>
      <c r="D39" s="65"/>
      <c r="E39" s="66"/>
    </row>
    <row r="40" spans="1:5" x14ac:dyDescent="0.3">
      <c r="A40" s="65"/>
      <c r="B40" s="65"/>
      <c r="C40" s="65"/>
      <c r="D40" s="65"/>
      <c r="E40" s="66"/>
    </row>
    <row r="41" spans="1:5" x14ac:dyDescent="0.3">
      <c r="A41" s="65"/>
      <c r="B41" s="65"/>
      <c r="C41" s="65"/>
      <c r="D41" s="65"/>
      <c r="E41" s="66"/>
    </row>
    <row r="42" spans="1:5" x14ac:dyDescent="0.3">
      <c r="A42" s="65"/>
      <c r="B42" s="65"/>
      <c r="C42" s="65"/>
      <c r="D42" s="65"/>
      <c r="E42" s="66"/>
    </row>
    <row r="43" spans="1:5" x14ac:dyDescent="0.3">
      <c r="A43" s="65"/>
      <c r="B43" s="65"/>
      <c r="C43" s="65"/>
      <c r="D43" s="65"/>
      <c r="E43" s="66"/>
    </row>
    <row r="44" spans="1:5" x14ac:dyDescent="0.3">
      <c r="A44" s="65"/>
      <c r="B44" s="65"/>
      <c r="C44" s="65"/>
      <c r="D44" s="65"/>
      <c r="E44" s="66"/>
    </row>
    <row r="45" spans="1:5" x14ac:dyDescent="0.3">
      <c r="A45" s="65"/>
      <c r="B45" s="65"/>
      <c r="C45" s="65"/>
      <c r="D45" s="65"/>
      <c r="E45" s="66"/>
    </row>
    <row r="46" spans="1:5" x14ac:dyDescent="0.3">
      <c r="A46" s="65"/>
      <c r="B46" s="65"/>
      <c r="C46" s="65"/>
      <c r="D46" s="65"/>
      <c r="E46" s="66"/>
    </row>
    <row r="47" spans="1:5" x14ac:dyDescent="0.3">
      <c r="A47" s="65"/>
      <c r="B47" s="65"/>
      <c r="C47" s="65"/>
      <c r="D47" s="65"/>
      <c r="E47" s="66"/>
    </row>
    <row r="48" spans="1:5" x14ac:dyDescent="0.3">
      <c r="A48" s="65"/>
      <c r="B48" s="65"/>
      <c r="C48" s="65"/>
      <c r="D48" s="65"/>
      <c r="E48" s="66"/>
    </row>
    <row r="49" spans="1:5" x14ac:dyDescent="0.3">
      <c r="A49" s="65"/>
      <c r="B49" s="65"/>
      <c r="C49" s="65"/>
      <c r="D49" s="65"/>
      <c r="E49" s="66"/>
    </row>
    <row r="50" spans="1:5" x14ac:dyDescent="0.3">
      <c r="A50" s="65"/>
      <c r="B50" s="65"/>
      <c r="C50" s="65"/>
      <c r="D50" s="65"/>
      <c r="E50" s="66"/>
    </row>
    <row r="51" spans="1:5" x14ac:dyDescent="0.3">
      <c r="A51" s="65"/>
      <c r="B51" s="65"/>
      <c r="C51" s="65"/>
      <c r="D51" s="65"/>
      <c r="E51" s="66"/>
    </row>
    <row r="52" spans="1:5" x14ac:dyDescent="0.3">
      <c r="A52" s="65"/>
      <c r="B52" s="65"/>
      <c r="C52" s="65"/>
      <c r="D52" s="65"/>
      <c r="E52" s="66"/>
    </row>
    <row r="53" spans="1:5" x14ac:dyDescent="0.3">
      <c r="A53" s="65"/>
      <c r="B53" s="65"/>
      <c r="C53" s="65"/>
      <c r="D53" s="65"/>
      <c r="E53" s="66"/>
    </row>
    <row r="54" spans="1:5" x14ac:dyDescent="0.3">
      <c r="A54" s="65"/>
      <c r="B54" s="65"/>
      <c r="C54" s="65"/>
      <c r="D54" s="65"/>
      <c r="E54" s="66"/>
    </row>
    <row r="55" spans="1:5" x14ac:dyDescent="0.3">
      <c r="A55" s="65"/>
      <c r="B55" s="65"/>
      <c r="C55" s="65"/>
      <c r="D55" s="65"/>
      <c r="E55" s="66"/>
    </row>
    <row r="56" spans="1:5" x14ac:dyDescent="0.3">
      <c r="A56" s="65"/>
      <c r="B56" s="65"/>
      <c r="C56" s="65"/>
      <c r="D56" s="65"/>
      <c r="E56" s="66"/>
    </row>
    <row r="57" spans="1:5" x14ac:dyDescent="0.3">
      <c r="A57" s="65"/>
      <c r="B57" s="65"/>
      <c r="C57" s="65"/>
      <c r="D57" s="65"/>
      <c r="E57" s="66"/>
    </row>
    <row r="58" spans="1:5" x14ac:dyDescent="0.3">
      <c r="A58" s="65"/>
      <c r="B58" s="65"/>
      <c r="C58" s="65"/>
      <c r="D58" s="65"/>
      <c r="E58" s="66"/>
    </row>
    <row r="59" spans="1:5" x14ac:dyDescent="0.3">
      <c r="A59" s="65"/>
      <c r="B59" s="65"/>
      <c r="C59" s="65"/>
      <c r="D59" s="65"/>
      <c r="E59" s="66"/>
    </row>
    <row r="60" spans="1:5" x14ac:dyDescent="0.3">
      <c r="A60" s="65"/>
      <c r="B60" s="65"/>
      <c r="C60" s="65"/>
      <c r="D60" s="65"/>
      <c r="E60" s="66"/>
    </row>
    <row r="61" spans="1:5" x14ac:dyDescent="0.3">
      <c r="A61" s="65"/>
      <c r="B61" s="65"/>
      <c r="C61" s="65"/>
      <c r="D61" s="65"/>
      <c r="E61" s="66"/>
    </row>
    <row r="67" spans="1:25" x14ac:dyDescent="0.3">
      <c r="A67" s="49" t="s">
        <v>118</v>
      </c>
    </row>
    <row r="68" spans="1:25" x14ac:dyDescent="0.3">
      <c r="A68" s="49" t="s">
        <v>119</v>
      </c>
    </row>
    <row r="69" spans="1:25" x14ac:dyDescent="0.3">
      <c r="A69" s="49" t="s">
        <v>173</v>
      </c>
    </row>
    <row r="70" spans="1:25" x14ac:dyDescent="0.3">
      <c r="A70" s="49" t="s">
        <v>229</v>
      </c>
    </row>
    <row r="71" spans="1:25" ht="14.4" customHeight="1" x14ac:dyDescent="0.3">
      <c r="A71" s="50"/>
      <c r="T71" s="61"/>
      <c r="U71" s="61"/>
      <c r="V71" s="61"/>
      <c r="W71" s="61"/>
      <c r="X71" s="61"/>
      <c r="Y71" s="61"/>
    </row>
    <row r="72" spans="1:25" x14ac:dyDescent="0.3">
      <c r="A72" s="51" t="s">
        <v>230</v>
      </c>
      <c r="T72" s="61"/>
      <c r="U72" s="61"/>
      <c r="V72" s="61"/>
      <c r="W72" s="61"/>
      <c r="X72" s="61"/>
      <c r="Y72" s="61"/>
    </row>
    <row r="73" spans="1:25" x14ac:dyDescent="0.3">
      <c r="A73" s="50"/>
      <c r="T73" s="61"/>
      <c r="U73" s="61"/>
      <c r="V73" s="61"/>
      <c r="W73" s="61"/>
      <c r="X73" s="61"/>
      <c r="Y73" s="61"/>
    </row>
    <row r="74" spans="1:25" x14ac:dyDescent="0.3">
      <c r="A74" s="51" t="s">
        <v>231</v>
      </c>
      <c r="T74" s="61"/>
      <c r="U74" s="61"/>
      <c r="V74" s="61"/>
      <c r="W74" s="61"/>
      <c r="X74" s="61"/>
      <c r="Y74" s="61"/>
    </row>
    <row r="75" spans="1:25" x14ac:dyDescent="0.3">
      <c r="A75" s="48" t="s">
        <v>232</v>
      </c>
      <c r="T75" s="61"/>
      <c r="U75" s="61"/>
      <c r="V75" s="61"/>
      <c r="W75" s="61"/>
      <c r="X75" s="61"/>
      <c r="Y75" s="61"/>
    </row>
    <row r="76" spans="1:25" x14ac:dyDescent="0.3">
      <c r="A76" s="50"/>
      <c r="T76" s="61"/>
      <c r="U76" s="61"/>
      <c r="V76" s="61"/>
      <c r="W76" s="61"/>
      <c r="X76" s="61"/>
      <c r="Y76" s="61"/>
    </row>
    <row r="77" spans="1:25" x14ac:dyDescent="0.3">
      <c r="A77" s="51" t="s">
        <v>233</v>
      </c>
      <c r="T77" s="61"/>
      <c r="U77" s="61"/>
      <c r="V77" s="61"/>
      <c r="W77" s="61"/>
      <c r="X77" s="61"/>
      <c r="Y77" s="61"/>
    </row>
    <row r="78" spans="1:25" x14ac:dyDescent="0.3">
      <c r="A78" s="51" t="s">
        <v>234</v>
      </c>
      <c r="T78" s="61"/>
      <c r="U78" s="61"/>
      <c r="V78" s="61"/>
      <c r="W78" s="61"/>
      <c r="X78" s="61"/>
      <c r="Y78" s="61"/>
    </row>
    <row r="79" spans="1:25" x14ac:dyDescent="0.3">
      <c r="A79" s="51" t="s">
        <v>235</v>
      </c>
      <c r="T79" s="61"/>
      <c r="U79" s="61"/>
      <c r="V79" s="61"/>
      <c r="W79" s="61"/>
      <c r="X79" s="61"/>
      <c r="Y79" s="61"/>
    </row>
    <row r="80" spans="1:25" x14ac:dyDescent="0.3">
      <c r="A80" s="48" t="s">
        <v>236</v>
      </c>
      <c r="T80" s="61"/>
      <c r="U80" s="61"/>
      <c r="V80" s="61"/>
      <c r="W80" s="61"/>
      <c r="X80" s="61"/>
      <c r="Y80" s="61"/>
    </row>
    <row r="81" spans="1:25" x14ac:dyDescent="0.3">
      <c r="A81" s="48" t="s">
        <v>237</v>
      </c>
      <c r="T81" s="61"/>
      <c r="U81" s="61"/>
      <c r="V81" s="61"/>
      <c r="W81" s="61"/>
      <c r="X81" s="61"/>
      <c r="Y81" s="61"/>
    </row>
    <row r="82" spans="1:25" x14ac:dyDescent="0.3">
      <c r="A82" s="50"/>
      <c r="T82" s="61"/>
      <c r="U82" s="61"/>
      <c r="V82" s="61"/>
      <c r="W82" s="61"/>
      <c r="X82" s="61"/>
      <c r="Y82" s="61"/>
    </row>
    <row r="83" spans="1:25" x14ac:dyDescent="0.3">
      <c r="A83" s="51" t="s">
        <v>238</v>
      </c>
      <c r="T83" s="61"/>
      <c r="U83" s="61"/>
      <c r="V83" s="61"/>
      <c r="W83" s="61"/>
      <c r="X83" s="61"/>
      <c r="Y83" s="61"/>
    </row>
    <row r="84" spans="1:25" x14ac:dyDescent="0.3">
      <c r="A84" s="48" t="s">
        <v>239</v>
      </c>
    </row>
    <row r="85" spans="1:25" x14ac:dyDescent="0.3">
      <c r="A85" s="50"/>
    </row>
    <row r="86" spans="1:25" x14ac:dyDescent="0.3">
      <c r="A86" s="51" t="s">
        <v>240</v>
      </c>
    </row>
    <row r="87" spans="1:25" x14ac:dyDescent="0.3">
      <c r="A87" s="48" t="s">
        <v>241</v>
      </c>
    </row>
    <row r="88" spans="1:25" x14ac:dyDescent="0.3">
      <c r="A88" s="48" t="s">
        <v>242</v>
      </c>
    </row>
    <row r="89" spans="1:25" x14ac:dyDescent="0.3">
      <c r="A89" s="50"/>
    </row>
    <row r="90" spans="1:25" x14ac:dyDescent="0.3">
      <c r="A90" s="51" t="s">
        <v>243</v>
      </c>
    </row>
    <row r="91" spans="1:25" x14ac:dyDescent="0.3">
      <c r="A91" s="50"/>
    </row>
    <row r="92" spans="1:25" x14ac:dyDescent="0.3">
      <c r="A92" s="48" t="s">
        <v>244</v>
      </c>
    </row>
    <row r="93" spans="1:25" x14ac:dyDescent="0.3">
      <c r="A93" s="48" t="s">
        <v>245</v>
      </c>
    </row>
    <row r="94" spans="1:25" x14ac:dyDescent="0.3">
      <c r="A94" s="48" t="s">
        <v>246</v>
      </c>
    </row>
    <row r="95" spans="1:25" x14ac:dyDescent="0.3">
      <c r="A95" s="50"/>
    </row>
    <row r="96" spans="1:25" x14ac:dyDescent="0.3">
      <c r="A96" s="86" t="s">
        <v>247</v>
      </c>
    </row>
    <row r="97" spans="1:1" x14ac:dyDescent="0.3">
      <c r="A97" s="86" t="s">
        <v>179</v>
      </c>
    </row>
    <row r="98" spans="1:1" x14ac:dyDescent="0.3">
      <c r="A98" s="86" t="s">
        <v>248</v>
      </c>
    </row>
    <row r="99" spans="1:1" x14ac:dyDescent="0.3">
      <c r="A99" s="50"/>
    </row>
    <row r="100" spans="1:1" x14ac:dyDescent="0.3">
      <c r="A100" s="51" t="s">
        <v>249</v>
      </c>
    </row>
    <row r="101" spans="1:1" x14ac:dyDescent="0.3">
      <c r="A101" s="50"/>
    </row>
    <row r="102" spans="1:1" x14ac:dyDescent="0.3">
      <c r="A102" s="48" t="s">
        <v>174</v>
      </c>
    </row>
    <row r="103" spans="1:1" x14ac:dyDescent="0.3">
      <c r="A103" s="48" t="s">
        <v>120</v>
      </c>
    </row>
    <row r="104" spans="1:1" x14ac:dyDescent="0.3">
      <c r="A104" s="50"/>
    </row>
    <row r="105" spans="1:1" x14ac:dyDescent="0.3">
      <c r="A105" s="48" t="s">
        <v>121</v>
      </c>
    </row>
    <row r="106" spans="1:1" x14ac:dyDescent="0.3">
      <c r="A106" s="48" t="s">
        <v>122</v>
      </c>
    </row>
    <row r="107" spans="1:1" x14ac:dyDescent="0.3">
      <c r="A107" s="48" t="s">
        <v>123</v>
      </c>
    </row>
    <row r="108" spans="1:1" x14ac:dyDescent="0.3">
      <c r="A108" s="48" t="s">
        <v>124</v>
      </c>
    </row>
    <row r="109" spans="1:1" x14ac:dyDescent="0.3">
      <c r="A109" s="50"/>
    </row>
    <row r="110" spans="1:1" x14ac:dyDescent="0.3">
      <c r="A110" s="51" t="s">
        <v>125</v>
      </c>
    </row>
    <row r="111" spans="1:1" x14ac:dyDescent="0.3">
      <c r="A111" s="50"/>
    </row>
    <row r="112" spans="1:1" x14ac:dyDescent="0.3">
      <c r="A112" s="48" t="s">
        <v>128</v>
      </c>
    </row>
    <row r="113" spans="1:1" x14ac:dyDescent="0.3">
      <c r="A113" s="50"/>
    </row>
    <row r="114" spans="1:1" x14ac:dyDescent="0.3">
      <c r="A114" s="48" t="s">
        <v>175</v>
      </c>
    </row>
    <row r="115" spans="1:1" x14ac:dyDescent="0.3">
      <c r="A115" s="48" t="s">
        <v>176</v>
      </c>
    </row>
    <row r="116" spans="1:1" x14ac:dyDescent="0.3">
      <c r="A116" s="48" t="s">
        <v>177</v>
      </c>
    </row>
    <row r="117" spans="1:1" x14ac:dyDescent="0.3">
      <c r="A117" s="48" t="s">
        <v>129</v>
      </c>
    </row>
    <row r="118" spans="1:1" x14ac:dyDescent="0.3">
      <c r="A118" s="50"/>
    </row>
    <row r="119" spans="1:1" x14ac:dyDescent="0.3">
      <c r="A119" s="51" t="s">
        <v>178</v>
      </c>
    </row>
    <row r="120" spans="1:1" x14ac:dyDescent="0.3">
      <c r="A120" s="48" t="s">
        <v>250</v>
      </c>
    </row>
    <row r="121" spans="1:1" x14ac:dyDescent="0.3">
      <c r="A121" s="48" t="s">
        <v>251</v>
      </c>
    </row>
    <row r="122" spans="1:1" x14ac:dyDescent="0.3">
      <c r="A122" s="48" t="s">
        <v>252</v>
      </c>
    </row>
    <row r="123" spans="1:1" x14ac:dyDescent="0.3">
      <c r="A123" s="48" t="s">
        <v>253</v>
      </c>
    </row>
    <row r="124" spans="1:1" x14ac:dyDescent="0.3">
      <c r="A124" s="48" t="s">
        <v>254</v>
      </c>
    </row>
    <row r="125" spans="1:1" x14ac:dyDescent="0.3">
      <c r="A125" s="48" t="s">
        <v>255</v>
      </c>
    </row>
    <row r="126" spans="1:1" x14ac:dyDescent="0.3">
      <c r="A126" s="48" t="s">
        <v>256</v>
      </c>
    </row>
    <row r="127" spans="1:1" x14ac:dyDescent="0.3">
      <c r="A127" s="48" t="s">
        <v>257</v>
      </c>
    </row>
    <row r="128" spans="1:1" x14ac:dyDescent="0.3">
      <c r="A128" s="48" t="s">
        <v>258</v>
      </c>
    </row>
    <row r="129" spans="1:1" x14ac:dyDescent="0.3">
      <c r="A129" s="109" t="s">
        <v>259</v>
      </c>
    </row>
    <row r="130" spans="1:1" x14ac:dyDescent="0.3">
      <c r="A130" s="50"/>
    </row>
    <row r="131" spans="1:1" x14ac:dyDescent="0.3">
      <c r="A131" s="51" t="s">
        <v>260</v>
      </c>
    </row>
    <row r="132" spans="1:1" x14ac:dyDescent="0.3">
      <c r="A132" s="48" t="s">
        <v>253</v>
      </c>
    </row>
    <row r="133" spans="1:1" x14ac:dyDescent="0.3">
      <c r="A133" s="48" t="s">
        <v>261</v>
      </c>
    </row>
    <row r="134" spans="1:1" x14ac:dyDescent="0.3">
      <c r="A134" s="48" t="s">
        <v>262</v>
      </c>
    </row>
    <row r="135" spans="1:1" x14ac:dyDescent="0.3">
      <c r="A135" s="48" t="s">
        <v>263</v>
      </c>
    </row>
    <row r="136" spans="1:1" x14ac:dyDescent="0.3">
      <c r="A136" s="48" t="s">
        <v>264</v>
      </c>
    </row>
    <row r="137" spans="1:1" x14ac:dyDescent="0.3">
      <c r="A137" s="109" t="s">
        <v>259</v>
      </c>
    </row>
    <row r="138" spans="1:1" x14ac:dyDescent="0.3">
      <c r="A138" s="48" t="s">
        <v>253</v>
      </c>
    </row>
    <row r="139" spans="1:1" x14ac:dyDescent="0.3">
      <c r="A139" s="48" t="s">
        <v>265</v>
      </c>
    </row>
    <row r="140" spans="1:1" x14ac:dyDescent="0.3">
      <c r="A140" s="48" t="s">
        <v>266</v>
      </c>
    </row>
    <row r="141" spans="1:1" x14ac:dyDescent="0.3">
      <c r="A141" s="48" t="s">
        <v>267</v>
      </c>
    </row>
    <row r="142" spans="1:1" x14ac:dyDescent="0.3">
      <c r="A142" s="48" t="s">
        <v>264</v>
      </c>
    </row>
    <row r="143" spans="1:1" x14ac:dyDescent="0.3">
      <c r="A143" s="109" t="s">
        <v>259</v>
      </c>
    </row>
    <row r="144" spans="1:1" x14ac:dyDescent="0.3">
      <c r="A144" s="50"/>
    </row>
    <row r="145" spans="1:1" x14ac:dyDescent="0.3">
      <c r="A145" s="51" t="s">
        <v>269</v>
      </c>
    </row>
    <row r="146" spans="1:1" x14ac:dyDescent="0.3">
      <c r="A146" s="48" t="s">
        <v>270</v>
      </c>
    </row>
    <row r="147" spans="1:1" x14ac:dyDescent="0.3">
      <c r="A147" s="48" t="s">
        <v>130</v>
      </c>
    </row>
    <row r="148" spans="1:1" x14ac:dyDescent="0.3">
      <c r="A148" s="48" t="s">
        <v>136</v>
      </c>
    </row>
    <row r="149" spans="1:1" x14ac:dyDescent="0.3">
      <c r="A149" s="48" t="s">
        <v>271</v>
      </c>
    </row>
    <row r="150" spans="1:1" x14ac:dyDescent="0.3">
      <c r="A150" s="48" t="s">
        <v>272</v>
      </c>
    </row>
    <row r="151" spans="1:1" x14ac:dyDescent="0.3">
      <c r="A151" s="109" t="s">
        <v>259</v>
      </c>
    </row>
    <row r="152" spans="1:1" x14ac:dyDescent="0.3">
      <c r="A152" s="50"/>
    </row>
    <row r="153" spans="1:1" x14ac:dyDescent="0.3">
      <c r="A153" s="51" t="s">
        <v>273</v>
      </c>
    </row>
    <row r="154" spans="1:1" x14ac:dyDescent="0.3">
      <c r="A154" s="48" t="s">
        <v>274</v>
      </c>
    </row>
    <row r="155" spans="1:1" x14ac:dyDescent="0.3">
      <c r="A155" s="48" t="s">
        <v>131</v>
      </c>
    </row>
    <row r="156" spans="1:1" x14ac:dyDescent="0.3">
      <c r="A156" s="50"/>
    </row>
    <row r="157" spans="1:1" x14ac:dyDescent="0.3">
      <c r="A157" s="51" t="s">
        <v>275</v>
      </c>
    </row>
    <row r="158" spans="1:1" x14ac:dyDescent="0.3">
      <c r="A158" s="48" t="s">
        <v>276</v>
      </c>
    </row>
    <row r="159" spans="1:1" x14ac:dyDescent="0.3">
      <c r="A159" s="48" t="s">
        <v>137</v>
      </c>
    </row>
    <row r="160" spans="1:1" x14ac:dyDescent="0.3">
      <c r="A160" s="50"/>
    </row>
    <row r="161" spans="1:1" x14ac:dyDescent="0.3">
      <c r="A161" s="48" t="s">
        <v>132</v>
      </c>
    </row>
    <row r="162" spans="1:1" x14ac:dyDescent="0.3">
      <c r="A162" s="48" t="s">
        <v>133</v>
      </c>
    </row>
    <row r="163" spans="1:1" x14ac:dyDescent="0.3">
      <c r="A163" s="50"/>
    </row>
    <row r="164" spans="1:1" x14ac:dyDescent="0.3">
      <c r="A164" s="48" t="s">
        <v>134</v>
      </c>
    </row>
    <row r="165" spans="1:1" x14ac:dyDescent="0.3">
      <c r="A165" s="48" t="s">
        <v>135</v>
      </c>
    </row>
    <row r="166" spans="1:1" x14ac:dyDescent="0.3">
      <c r="A166" s="50"/>
    </row>
    <row r="167" spans="1:1" x14ac:dyDescent="0.3">
      <c r="A167" s="51" t="s">
        <v>277</v>
      </c>
    </row>
    <row r="168" spans="1:1" x14ac:dyDescent="0.3">
      <c r="A168" s="50"/>
    </row>
    <row r="169" spans="1:1" x14ac:dyDescent="0.3">
      <c r="A169" s="51" t="s">
        <v>278</v>
      </c>
    </row>
    <row r="170" spans="1:1" x14ac:dyDescent="0.3">
      <c r="A170" s="48" t="s">
        <v>279</v>
      </c>
    </row>
    <row r="171" spans="1:1" x14ac:dyDescent="0.3">
      <c r="A171" s="50"/>
    </row>
    <row r="172" spans="1:1" x14ac:dyDescent="0.3">
      <c r="A172" s="48" t="s">
        <v>280</v>
      </c>
    </row>
    <row r="173" spans="1:1" x14ac:dyDescent="0.3">
      <c r="A173" s="48" t="s">
        <v>281</v>
      </c>
    </row>
    <row r="174" spans="1:1" x14ac:dyDescent="0.3">
      <c r="A174" s="48" t="s">
        <v>282</v>
      </c>
    </row>
    <row r="175" spans="1:1" x14ac:dyDescent="0.3">
      <c r="A175" s="48" t="s">
        <v>283</v>
      </c>
    </row>
    <row r="176" spans="1:1" x14ac:dyDescent="0.3">
      <c r="A176" s="48" t="s">
        <v>284</v>
      </c>
    </row>
    <row r="177" spans="1:1" x14ac:dyDescent="0.3">
      <c r="A177" s="48" t="s">
        <v>285</v>
      </c>
    </row>
    <row r="178" spans="1:1" x14ac:dyDescent="0.3">
      <c r="A178" s="48" t="s">
        <v>286</v>
      </c>
    </row>
    <row r="179" spans="1:1" x14ac:dyDescent="0.3">
      <c r="A179" s="48" t="s">
        <v>287</v>
      </c>
    </row>
    <row r="180" spans="1:1" x14ac:dyDescent="0.3">
      <c r="A180" s="109" t="s">
        <v>259</v>
      </c>
    </row>
    <row r="181" spans="1:1" x14ac:dyDescent="0.3">
      <c r="A181" s="50"/>
    </row>
    <row r="182" spans="1:1" x14ac:dyDescent="0.3">
      <c r="A182" s="48" t="s">
        <v>126</v>
      </c>
    </row>
    <row r="183" spans="1:1" x14ac:dyDescent="0.3">
      <c r="A183" s="48" t="s">
        <v>127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6A487-4542-4EC3-A3E7-EBA18FEF9A16}">
  <dimension ref="A1:L29"/>
  <sheetViews>
    <sheetView zoomScale="70" zoomScaleNormal="70" workbookViewId="0">
      <selection activeCell="AG9" sqref="AG9"/>
    </sheetView>
  </sheetViews>
  <sheetFormatPr defaultRowHeight="14.4" x14ac:dyDescent="0.3"/>
  <cols>
    <col min="1" max="1" width="17" customWidth="1"/>
    <col min="4" max="4" width="25.21875" customWidth="1"/>
    <col min="5" max="7" width="12.77734375" customWidth="1"/>
    <col min="9" max="9" width="24.5546875" customWidth="1"/>
    <col min="10" max="12" width="12.77734375" customWidth="1"/>
  </cols>
  <sheetData>
    <row r="1" spans="1:7" x14ac:dyDescent="0.3">
      <c r="A1" s="179" t="s">
        <v>333</v>
      </c>
      <c r="B1" s="179" t="s">
        <v>334</v>
      </c>
      <c r="D1" t="s">
        <v>346</v>
      </c>
    </row>
    <row r="2" spans="1:7" ht="28.8" x14ac:dyDescent="0.3">
      <c r="A2" s="180" t="s">
        <v>335</v>
      </c>
      <c r="B2" s="37">
        <v>5</v>
      </c>
      <c r="D2" s="179" t="s">
        <v>347</v>
      </c>
      <c r="E2" s="179" t="s">
        <v>333</v>
      </c>
      <c r="F2" s="179" t="s">
        <v>340</v>
      </c>
      <c r="G2" s="179" t="s">
        <v>334</v>
      </c>
    </row>
    <row r="3" spans="1:7" ht="28.8" x14ac:dyDescent="0.3">
      <c r="A3" s="180" t="s">
        <v>336</v>
      </c>
      <c r="B3" s="37">
        <v>4</v>
      </c>
      <c r="D3" s="37" t="s">
        <v>348</v>
      </c>
      <c r="E3" s="37">
        <v>5</v>
      </c>
      <c r="F3" s="37">
        <v>1</v>
      </c>
      <c r="G3" s="195">
        <f>E3*F3</f>
        <v>5</v>
      </c>
    </row>
    <row r="4" spans="1:7" ht="28.8" x14ac:dyDescent="0.3">
      <c r="A4" s="180" t="s">
        <v>337</v>
      </c>
      <c r="B4" s="37">
        <v>3</v>
      </c>
      <c r="D4" s="37" t="s">
        <v>349</v>
      </c>
      <c r="E4" s="37">
        <v>5</v>
      </c>
      <c r="F4" s="37">
        <v>2</v>
      </c>
      <c r="G4" s="196">
        <f>E4*F4</f>
        <v>10</v>
      </c>
    </row>
    <row r="5" spans="1:7" ht="28.8" x14ac:dyDescent="0.3">
      <c r="A5" s="180" t="s">
        <v>338</v>
      </c>
      <c r="B5" s="37">
        <v>2</v>
      </c>
      <c r="D5" s="37" t="s">
        <v>350</v>
      </c>
      <c r="E5" s="37">
        <v>5</v>
      </c>
      <c r="F5" s="37">
        <v>3</v>
      </c>
      <c r="G5" s="190">
        <f>E5*F5</f>
        <v>15</v>
      </c>
    </row>
    <row r="6" spans="1:7" ht="28.8" x14ac:dyDescent="0.3">
      <c r="A6" s="180" t="s">
        <v>339</v>
      </c>
      <c r="B6" s="37">
        <v>1</v>
      </c>
      <c r="D6" s="37" t="s">
        <v>351</v>
      </c>
      <c r="E6" s="37">
        <v>5</v>
      </c>
      <c r="F6" s="37">
        <v>4</v>
      </c>
      <c r="G6" s="194">
        <f>E6*F6</f>
        <v>20</v>
      </c>
    </row>
    <row r="7" spans="1:7" ht="28.8" x14ac:dyDescent="0.3">
      <c r="D7" s="37" t="s">
        <v>352</v>
      </c>
      <c r="E7" s="37">
        <v>5</v>
      </c>
      <c r="F7" s="37">
        <v>5</v>
      </c>
      <c r="G7" s="193">
        <f>E7*F7</f>
        <v>25</v>
      </c>
    </row>
    <row r="8" spans="1:7" ht="28.8" x14ac:dyDescent="0.3">
      <c r="A8" s="179" t="s">
        <v>340</v>
      </c>
      <c r="B8" s="179" t="s">
        <v>334</v>
      </c>
      <c r="D8" s="37" t="s">
        <v>353</v>
      </c>
      <c r="E8" s="37">
        <v>4</v>
      </c>
      <c r="F8" s="37">
        <v>1</v>
      </c>
      <c r="G8" s="196">
        <f>E8*F8</f>
        <v>4</v>
      </c>
    </row>
    <row r="9" spans="1:7" ht="57.6" x14ac:dyDescent="0.3">
      <c r="A9" s="180" t="s">
        <v>341</v>
      </c>
      <c r="B9" s="37">
        <v>5</v>
      </c>
      <c r="D9" s="37" t="s">
        <v>354</v>
      </c>
      <c r="E9" s="37">
        <v>4</v>
      </c>
      <c r="F9" s="37">
        <v>2</v>
      </c>
      <c r="G9" s="195">
        <f>E9*F9</f>
        <v>8</v>
      </c>
    </row>
    <row r="10" spans="1:7" ht="43.2" x14ac:dyDescent="0.3">
      <c r="A10" s="180" t="s">
        <v>342</v>
      </c>
      <c r="B10" s="37">
        <v>4</v>
      </c>
      <c r="D10" s="37" t="s">
        <v>355</v>
      </c>
      <c r="E10" s="37">
        <v>4</v>
      </c>
      <c r="F10" s="37">
        <v>3</v>
      </c>
      <c r="G10" s="196">
        <f>E10*F10</f>
        <v>12</v>
      </c>
    </row>
    <row r="11" spans="1:7" ht="43.2" x14ac:dyDescent="0.3">
      <c r="A11" s="180" t="s">
        <v>343</v>
      </c>
      <c r="B11" s="37">
        <v>3</v>
      </c>
      <c r="D11" s="37" t="s">
        <v>356</v>
      </c>
      <c r="E11" s="37">
        <v>4</v>
      </c>
      <c r="F11" s="37">
        <v>4</v>
      </c>
      <c r="G11" s="190">
        <f>E11*F11</f>
        <v>16</v>
      </c>
    </row>
    <row r="12" spans="1:7" ht="28.8" x14ac:dyDescent="0.3">
      <c r="A12" s="180" t="s">
        <v>344</v>
      </c>
      <c r="B12" s="37">
        <v>2</v>
      </c>
      <c r="D12" s="37" t="s">
        <v>357</v>
      </c>
      <c r="E12" s="37">
        <v>4</v>
      </c>
      <c r="F12" s="37">
        <v>5</v>
      </c>
      <c r="G12" s="194">
        <f>E12*F12</f>
        <v>20</v>
      </c>
    </row>
    <row r="13" spans="1:7" ht="28.8" x14ac:dyDescent="0.3">
      <c r="A13" s="180" t="s">
        <v>345</v>
      </c>
      <c r="B13" s="37">
        <v>1</v>
      </c>
      <c r="D13" s="37" t="s">
        <v>358</v>
      </c>
      <c r="E13" s="37">
        <v>3</v>
      </c>
      <c r="F13" s="37">
        <v>1</v>
      </c>
      <c r="G13" s="189">
        <f>E13*F13</f>
        <v>3</v>
      </c>
    </row>
    <row r="14" spans="1:7" ht="28.8" x14ac:dyDescent="0.3">
      <c r="D14" s="37" t="s">
        <v>359</v>
      </c>
      <c r="E14" s="37">
        <v>3</v>
      </c>
      <c r="F14" s="37">
        <v>2</v>
      </c>
      <c r="G14" s="196">
        <f>E14*F14</f>
        <v>6</v>
      </c>
    </row>
    <row r="15" spans="1:7" ht="28.8" x14ac:dyDescent="0.3">
      <c r="A15" s="185"/>
      <c r="B15" s="185"/>
      <c r="D15" s="37" t="s">
        <v>360</v>
      </c>
      <c r="E15" s="37">
        <v>3</v>
      </c>
      <c r="F15" s="37">
        <v>3</v>
      </c>
      <c r="G15" s="195">
        <f>E15*F15</f>
        <v>9</v>
      </c>
    </row>
    <row r="16" spans="1:7" ht="43.2" x14ac:dyDescent="0.3">
      <c r="A16" s="185"/>
      <c r="B16" s="185"/>
      <c r="D16" s="37" t="s">
        <v>361</v>
      </c>
      <c r="E16" s="37">
        <v>3</v>
      </c>
      <c r="F16" s="37">
        <v>4</v>
      </c>
      <c r="G16" s="196">
        <f t="shared" ref="G16:G27" si="0">E16*F16</f>
        <v>12</v>
      </c>
    </row>
    <row r="17" spans="1:12" ht="28.8" x14ac:dyDescent="0.3">
      <c r="A17" s="185"/>
      <c r="B17" s="185"/>
      <c r="D17" s="37" t="s">
        <v>362</v>
      </c>
      <c r="E17" s="37">
        <v>3</v>
      </c>
      <c r="F17" s="37">
        <v>5</v>
      </c>
      <c r="G17" s="190">
        <f t="shared" si="0"/>
        <v>15</v>
      </c>
    </row>
    <row r="18" spans="1:12" ht="28.8" x14ac:dyDescent="0.3">
      <c r="A18" s="185"/>
      <c r="B18" s="185"/>
      <c r="D18" s="37" t="s">
        <v>363</v>
      </c>
      <c r="E18" s="37">
        <v>2</v>
      </c>
      <c r="F18" s="37">
        <v>1</v>
      </c>
      <c r="G18" s="191">
        <f t="shared" si="0"/>
        <v>2</v>
      </c>
      <c r="I18" t="s">
        <v>373</v>
      </c>
    </row>
    <row r="19" spans="1:12" ht="28.8" x14ac:dyDescent="0.3">
      <c r="A19" s="185"/>
      <c r="B19" s="185"/>
      <c r="D19" s="37" t="s">
        <v>364</v>
      </c>
      <c r="E19" s="37">
        <v>2</v>
      </c>
      <c r="F19" s="37">
        <v>2</v>
      </c>
      <c r="G19" s="189">
        <f t="shared" si="0"/>
        <v>4</v>
      </c>
      <c r="I19" s="179" t="s">
        <v>347</v>
      </c>
      <c r="J19" s="179" t="s">
        <v>333</v>
      </c>
      <c r="K19" s="179" t="s">
        <v>340</v>
      </c>
      <c r="L19" s="179" t="s">
        <v>334</v>
      </c>
    </row>
    <row r="20" spans="1:12" ht="28.8" x14ac:dyDescent="0.3">
      <c r="A20" s="185"/>
      <c r="B20" s="185"/>
      <c r="D20" s="37" t="s">
        <v>365</v>
      </c>
      <c r="E20" s="37">
        <v>2</v>
      </c>
      <c r="F20" s="37">
        <v>3</v>
      </c>
      <c r="G20" s="196">
        <f t="shared" si="0"/>
        <v>6</v>
      </c>
      <c r="I20" s="37" t="s">
        <v>352</v>
      </c>
      <c r="J20" s="37">
        <v>5</v>
      </c>
      <c r="K20" s="37">
        <v>5</v>
      </c>
      <c r="L20" s="193">
        <f>J20*K20</f>
        <v>25</v>
      </c>
    </row>
    <row r="21" spans="1:12" ht="28.8" x14ac:dyDescent="0.3">
      <c r="A21" s="185"/>
      <c r="B21" s="185"/>
      <c r="D21" s="37" t="s">
        <v>366</v>
      </c>
      <c r="E21" s="37">
        <v>2</v>
      </c>
      <c r="F21" s="37">
        <v>4</v>
      </c>
      <c r="G21" s="195">
        <f t="shared" si="0"/>
        <v>8</v>
      </c>
      <c r="I21" s="37" t="s">
        <v>351</v>
      </c>
      <c r="J21" s="37">
        <v>5</v>
      </c>
      <c r="K21" s="37">
        <v>4</v>
      </c>
      <c r="L21" s="194">
        <f>J21*K21</f>
        <v>20</v>
      </c>
    </row>
    <row r="22" spans="1:12" ht="43.2" x14ac:dyDescent="0.3">
      <c r="A22" s="185"/>
      <c r="B22" s="185"/>
      <c r="D22" s="37" t="s">
        <v>372</v>
      </c>
      <c r="E22" s="37">
        <v>2</v>
      </c>
      <c r="F22" s="37">
        <v>5</v>
      </c>
      <c r="G22" s="196">
        <f t="shared" si="0"/>
        <v>10</v>
      </c>
      <c r="I22" s="37" t="s">
        <v>357</v>
      </c>
      <c r="J22" s="37">
        <v>4</v>
      </c>
      <c r="K22" s="37">
        <v>5</v>
      </c>
      <c r="L22" s="194">
        <f>J22*K22</f>
        <v>20</v>
      </c>
    </row>
    <row r="23" spans="1:12" ht="43.2" x14ac:dyDescent="0.3">
      <c r="A23" s="185"/>
      <c r="B23" s="185"/>
      <c r="D23" s="37" t="s">
        <v>367</v>
      </c>
      <c r="E23" s="37">
        <v>1</v>
      </c>
      <c r="F23" s="37">
        <v>1</v>
      </c>
      <c r="G23" s="192">
        <f t="shared" si="0"/>
        <v>1</v>
      </c>
      <c r="I23" s="37" t="s">
        <v>356</v>
      </c>
      <c r="J23" s="37">
        <v>4</v>
      </c>
      <c r="K23" s="37">
        <v>4</v>
      </c>
      <c r="L23" s="190">
        <f>J23*K23</f>
        <v>16</v>
      </c>
    </row>
    <row r="24" spans="1:12" ht="28.8" x14ac:dyDescent="0.3">
      <c r="A24" s="185"/>
      <c r="B24" s="185"/>
      <c r="D24" s="37" t="s">
        <v>368</v>
      </c>
      <c r="E24" s="37">
        <v>1</v>
      </c>
      <c r="F24" s="37">
        <v>2</v>
      </c>
      <c r="G24" s="191">
        <f t="shared" si="0"/>
        <v>2</v>
      </c>
      <c r="I24" s="37" t="s">
        <v>350</v>
      </c>
      <c r="J24" s="37">
        <v>5</v>
      </c>
      <c r="K24" s="37">
        <v>3</v>
      </c>
      <c r="L24" s="190">
        <f>J24*K24</f>
        <v>15</v>
      </c>
    </row>
    <row r="25" spans="1:12" ht="28.8" x14ac:dyDescent="0.3">
      <c r="D25" s="37" t="s">
        <v>369</v>
      </c>
      <c r="E25" s="37">
        <v>1</v>
      </c>
      <c r="F25" s="37">
        <v>3</v>
      </c>
      <c r="G25" s="189">
        <f t="shared" si="0"/>
        <v>3</v>
      </c>
      <c r="I25" s="37" t="s">
        <v>362</v>
      </c>
      <c r="J25" s="37">
        <v>3</v>
      </c>
      <c r="K25" s="37">
        <v>5</v>
      </c>
      <c r="L25" s="190">
        <f>J25*K25</f>
        <v>15</v>
      </c>
    </row>
    <row r="26" spans="1:12" ht="43.2" x14ac:dyDescent="0.3">
      <c r="D26" s="37" t="s">
        <v>370</v>
      </c>
      <c r="E26" s="37">
        <v>1</v>
      </c>
      <c r="F26" s="37">
        <v>4</v>
      </c>
      <c r="G26" s="196">
        <f t="shared" si="0"/>
        <v>4</v>
      </c>
      <c r="I26" s="37" t="s">
        <v>355</v>
      </c>
      <c r="J26" s="37">
        <v>4</v>
      </c>
      <c r="K26" s="37">
        <v>3</v>
      </c>
      <c r="L26" s="196">
        <f>J26*K26</f>
        <v>12</v>
      </c>
    </row>
    <row r="27" spans="1:12" ht="43.2" x14ac:dyDescent="0.3">
      <c r="D27" s="37" t="s">
        <v>371</v>
      </c>
      <c r="E27" s="37">
        <v>1</v>
      </c>
      <c r="F27" s="37">
        <v>5</v>
      </c>
      <c r="G27" s="195">
        <f t="shared" si="0"/>
        <v>5</v>
      </c>
      <c r="I27" s="37" t="s">
        <v>361</v>
      </c>
      <c r="J27" s="37">
        <v>3</v>
      </c>
      <c r="K27" s="37">
        <v>4</v>
      </c>
      <c r="L27" s="196">
        <f>J27*K27</f>
        <v>12</v>
      </c>
    </row>
    <row r="28" spans="1:12" ht="43.2" x14ac:dyDescent="0.3">
      <c r="I28" s="37" t="s">
        <v>349</v>
      </c>
      <c r="J28" s="37">
        <v>5</v>
      </c>
      <c r="K28" s="37">
        <v>2</v>
      </c>
      <c r="L28" s="196">
        <f>J28*K28</f>
        <v>10</v>
      </c>
    </row>
    <row r="29" spans="1:12" ht="43.2" x14ac:dyDescent="0.3">
      <c r="I29" s="37" t="s">
        <v>372</v>
      </c>
      <c r="J29" s="37">
        <v>2</v>
      </c>
      <c r="K29" s="37">
        <v>5</v>
      </c>
      <c r="L29" s="196">
        <f>J29*K29</f>
        <v>10</v>
      </c>
    </row>
  </sheetData>
  <sortState xmlns:xlrd2="http://schemas.microsoft.com/office/spreadsheetml/2017/richdata2" ref="I20:L44">
    <sortCondition descending="1" ref="L4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Затраты</vt:lpstr>
      <vt:lpstr>Прогноз продаж</vt:lpstr>
      <vt:lpstr>ФинПлан</vt:lpstr>
      <vt:lpstr>Основные показатели проекта</vt:lpstr>
      <vt:lpstr>Точка безубыточности</vt:lpstr>
      <vt:lpstr>Расчет рисков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 Розвальд</dc:creator>
  <cp:lastModifiedBy>Дарья Шадрина</cp:lastModifiedBy>
  <dcterms:created xsi:type="dcterms:W3CDTF">2015-06-05T18:19:34Z</dcterms:created>
  <dcterms:modified xsi:type="dcterms:W3CDTF">2025-11-27T17:37:21Z</dcterms:modified>
</cp:coreProperties>
</file>