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8cd8a27315f7ddf4/Рабочий стол/"/>
    </mc:Choice>
  </mc:AlternateContent>
  <xr:revisionPtr revIDLastSave="26" documentId="11_AD4DF75460589B3ACB72847E879B76945BDEDDA3" xr6:coauthVersionLast="47" xr6:coauthVersionMax="47" xr10:uidLastSave="{7E8A5FBA-3A53-4D44-8DD6-829DCA6D1D0B}"/>
  <bookViews>
    <workbookView xWindow="-110" yWindow="-110" windowWidth="19420" windowHeight="10420" firstSheet="3" activeTab="3" xr2:uid="{00000000-000D-0000-FFFF-FFFF00000000}"/>
  </bookViews>
  <sheets>
    <sheet name="Ключевые метрики" sheetId="6" r:id="rId1"/>
    <sheet name="Прогноз по персоналу в людях" sheetId="2" r:id="rId2"/>
    <sheet name="Расходы на персонал" sheetId="3" r:id="rId3"/>
    <sheet name="Прогноз расходов" sheetId="4" r:id="rId4"/>
    <sheet name="Маркетинг и реклама" sheetId="8" r:id="rId5"/>
    <sheet name="План продаж" sheetId="5" r:id="rId6"/>
    <sheet name="Бюджет доходов и расходов (БДР)" sheetId="1" r:id="rId7"/>
    <sheet name="Движение денежных средств" sheetId="9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6" l="1"/>
  <c r="B21" i="6" l="1"/>
  <c r="B20" i="6"/>
  <c r="C19" i="6"/>
  <c r="D19" i="6"/>
  <c r="B19" i="6"/>
  <c r="B18" i="6"/>
  <c r="B78" i="9"/>
  <c r="C77" i="9" s="1"/>
  <c r="B76" i="9"/>
  <c r="B56" i="9"/>
  <c r="C67" i="9"/>
  <c r="D67" i="9"/>
  <c r="B67" i="9"/>
  <c r="C75" i="9"/>
  <c r="D75" i="9"/>
  <c r="B75" i="9"/>
  <c r="D71" i="9"/>
  <c r="D72" i="9"/>
  <c r="D74" i="9"/>
  <c r="D69" i="9"/>
  <c r="B66" i="9"/>
  <c r="D59" i="9"/>
  <c r="D61" i="9"/>
  <c r="D62" i="9"/>
  <c r="D63" i="9"/>
  <c r="D64" i="9"/>
  <c r="D65" i="9"/>
  <c r="D66" i="9"/>
  <c r="D58" i="9"/>
  <c r="D46" i="9"/>
  <c r="D49" i="9"/>
  <c r="D50" i="9"/>
  <c r="D51" i="9"/>
  <c r="C71" i="9"/>
  <c r="C72" i="9"/>
  <c r="C74" i="9"/>
  <c r="C69" i="9"/>
  <c r="B71" i="9"/>
  <c r="B72" i="9"/>
  <c r="B74" i="9"/>
  <c r="B69" i="9"/>
  <c r="C59" i="9"/>
  <c r="C61" i="9"/>
  <c r="C62" i="9"/>
  <c r="C63" i="9"/>
  <c r="C64" i="9"/>
  <c r="C65" i="9"/>
  <c r="C66" i="9"/>
  <c r="C58" i="9"/>
  <c r="C46" i="9"/>
  <c r="C47" i="9"/>
  <c r="C49" i="9"/>
  <c r="C53" i="9"/>
  <c r="C45" i="9"/>
  <c r="B46" i="9"/>
  <c r="B47" i="9"/>
  <c r="B48" i="9"/>
  <c r="B49" i="9"/>
  <c r="B50" i="9"/>
  <c r="B51" i="9"/>
  <c r="B52" i="9"/>
  <c r="B53" i="9"/>
  <c r="B54" i="9"/>
  <c r="B55" i="9"/>
  <c r="B58" i="9"/>
  <c r="B59" i="9"/>
  <c r="B61" i="9"/>
  <c r="B62" i="9"/>
  <c r="B63" i="9"/>
  <c r="B64" i="9"/>
  <c r="B65" i="9"/>
  <c r="B26" i="9" l="1"/>
  <c r="C25" i="9"/>
  <c r="D25" i="9"/>
  <c r="E25" i="9"/>
  <c r="F25" i="9"/>
  <c r="G25" i="9"/>
  <c r="H25" i="9"/>
  <c r="I25" i="9"/>
  <c r="J25" i="9"/>
  <c r="K25" i="9"/>
  <c r="L25" i="9"/>
  <c r="M25" i="9"/>
  <c r="B25" i="9"/>
  <c r="C24" i="9"/>
  <c r="D24" i="9"/>
  <c r="E24" i="9"/>
  <c r="F24" i="9"/>
  <c r="G24" i="9"/>
  <c r="H24" i="9"/>
  <c r="I24" i="9"/>
  <c r="J24" i="9"/>
  <c r="K24" i="9"/>
  <c r="L24" i="9"/>
  <c r="M24" i="9"/>
  <c r="B24" i="9"/>
  <c r="C23" i="9"/>
  <c r="D23" i="9"/>
  <c r="E23" i="9"/>
  <c r="F23" i="9"/>
  <c r="G23" i="9"/>
  <c r="H23" i="9"/>
  <c r="I23" i="9"/>
  <c r="J23" i="9"/>
  <c r="K23" i="9"/>
  <c r="L23" i="9"/>
  <c r="M23" i="9"/>
  <c r="B23" i="9"/>
  <c r="C22" i="9"/>
  <c r="D22" i="9"/>
  <c r="E22" i="9"/>
  <c r="F22" i="9"/>
  <c r="G22" i="9"/>
  <c r="H22" i="9"/>
  <c r="I22" i="9"/>
  <c r="J22" i="9"/>
  <c r="K22" i="9"/>
  <c r="L22" i="9"/>
  <c r="M22" i="9"/>
  <c r="B22" i="9"/>
  <c r="C21" i="9"/>
  <c r="C19" i="9" s="1"/>
  <c r="C27" i="9" s="1"/>
  <c r="D21" i="9"/>
  <c r="E21" i="9"/>
  <c r="F21" i="9"/>
  <c r="G21" i="9"/>
  <c r="G19" i="9" s="1"/>
  <c r="G27" i="9" s="1"/>
  <c r="H21" i="9"/>
  <c r="I21" i="9"/>
  <c r="J21" i="9"/>
  <c r="K21" i="9"/>
  <c r="K19" i="9" s="1"/>
  <c r="K27" i="9" s="1"/>
  <c r="L21" i="9"/>
  <c r="M21" i="9"/>
  <c r="B21" i="9"/>
  <c r="M15" i="9"/>
  <c r="C15" i="9"/>
  <c r="D15" i="9"/>
  <c r="D8" i="9" s="1"/>
  <c r="E15" i="9"/>
  <c r="F15" i="9"/>
  <c r="F8" i="9" s="1"/>
  <c r="G15" i="9"/>
  <c r="H15" i="9"/>
  <c r="H8" i="9" s="1"/>
  <c r="I15" i="9"/>
  <c r="I8" i="9" s="1"/>
  <c r="J15" i="9"/>
  <c r="J8" i="9" s="1"/>
  <c r="K15" i="9"/>
  <c r="L15" i="9"/>
  <c r="B15" i="9"/>
  <c r="AA14" i="9"/>
  <c r="AC14" i="9"/>
  <c r="AE14" i="9"/>
  <c r="AI14" i="9"/>
  <c r="Z14" i="9"/>
  <c r="O14" i="9"/>
  <c r="P14" i="9"/>
  <c r="Q14" i="9"/>
  <c r="S14" i="9"/>
  <c r="T14" i="9"/>
  <c r="U14" i="9"/>
  <c r="V14" i="9"/>
  <c r="W14" i="9"/>
  <c r="Y14" i="9"/>
  <c r="N14" i="9"/>
  <c r="O13" i="9"/>
  <c r="P13" i="9"/>
  <c r="Q13" i="9"/>
  <c r="R13" i="9"/>
  <c r="S13" i="9"/>
  <c r="T13" i="9"/>
  <c r="U13" i="9"/>
  <c r="V13" i="9"/>
  <c r="W13" i="9"/>
  <c r="X13" i="9"/>
  <c r="Y13" i="9"/>
  <c r="N13" i="9"/>
  <c r="O11" i="9"/>
  <c r="P11" i="9"/>
  <c r="Q11" i="9"/>
  <c r="R11" i="9"/>
  <c r="S11" i="9"/>
  <c r="T11" i="9"/>
  <c r="U11" i="9"/>
  <c r="V11" i="9"/>
  <c r="W11" i="9"/>
  <c r="X11" i="9"/>
  <c r="Y11" i="9"/>
  <c r="O10" i="9"/>
  <c r="P10" i="9"/>
  <c r="Q10" i="9"/>
  <c r="R10" i="9"/>
  <c r="S10" i="9"/>
  <c r="T10" i="9"/>
  <c r="U10" i="9"/>
  <c r="V10" i="9"/>
  <c r="W10" i="9"/>
  <c r="X10" i="9"/>
  <c r="Y10" i="9"/>
  <c r="O7" i="9"/>
  <c r="O5" i="9" s="1"/>
  <c r="P7" i="9"/>
  <c r="Q7" i="9"/>
  <c r="R7" i="9"/>
  <c r="R5" i="9" s="1"/>
  <c r="S7" i="9"/>
  <c r="S5" i="9" s="1"/>
  <c r="T7" i="9"/>
  <c r="U7" i="9"/>
  <c r="U5" i="9" s="1"/>
  <c r="V7" i="9"/>
  <c r="V5" i="9" s="1"/>
  <c r="W7" i="9"/>
  <c r="W5" i="9" s="1"/>
  <c r="X7" i="9"/>
  <c r="Y7" i="9"/>
  <c r="Y5" i="9" s="1"/>
  <c r="N7" i="9"/>
  <c r="N5" i="9" s="1"/>
  <c r="M7" i="9"/>
  <c r="M5" i="9" s="1"/>
  <c r="L7" i="9"/>
  <c r="L5" i="9" s="1"/>
  <c r="AK35" i="9"/>
  <c r="AJ35" i="9"/>
  <c r="AI35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29" i="9"/>
  <c r="M35" i="9" s="1"/>
  <c r="L29" i="9"/>
  <c r="L35" i="9" s="1"/>
  <c r="K29" i="9"/>
  <c r="K35" i="9" s="1"/>
  <c r="J29" i="9"/>
  <c r="J35" i="9" s="1"/>
  <c r="I29" i="9"/>
  <c r="I35" i="9" s="1"/>
  <c r="H29" i="9"/>
  <c r="H35" i="9" s="1"/>
  <c r="G29" i="9"/>
  <c r="G35" i="9" s="1"/>
  <c r="F29" i="9"/>
  <c r="F35" i="9" s="1"/>
  <c r="E29" i="9"/>
  <c r="E35" i="9" s="1"/>
  <c r="D29" i="9"/>
  <c r="D35" i="9" s="1"/>
  <c r="C29" i="9"/>
  <c r="C35" i="9" s="1"/>
  <c r="B29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19" i="9"/>
  <c r="M27" i="9" s="1"/>
  <c r="L19" i="9"/>
  <c r="L27" i="9" s="1"/>
  <c r="E8" i="9"/>
  <c r="M14" i="9"/>
  <c r="L14" i="9"/>
  <c r="M13" i="9"/>
  <c r="L13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M11" i="9"/>
  <c r="L11" i="9"/>
  <c r="AK10" i="9"/>
  <c r="AJ10" i="9"/>
  <c r="AI10" i="9"/>
  <c r="AH10" i="9"/>
  <c r="AG10" i="9"/>
  <c r="AF10" i="9"/>
  <c r="AE10" i="9"/>
  <c r="AD10" i="9"/>
  <c r="AC10" i="9"/>
  <c r="AB10" i="9"/>
  <c r="AA10" i="9"/>
  <c r="Z10" i="9"/>
  <c r="M10" i="9"/>
  <c r="L10" i="9"/>
  <c r="K8" i="9"/>
  <c r="G8" i="9"/>
  <c r="C8" i="9"/>
  <c r="B8" i="9"/>
  <c r="X5" i="9"/>
  <c r="T5" i="9"/>
  <c r="Q5" i="9"/>
  <c r="P5" i="9"/>
  <c r="K7" i="9"/>
  <c r="K5" i="9" s="1"/>
  <c r="J7" i="9"/>
  <c r="J5" i="9" s="1"/>
  <c r="I7" i="9"/>
  <c r="I5" i="9" s="1"/>
  <c r="H7" i="9"/>
  <c r="H5" i="9" s="1"/>
  <c r="G7" i="9"/>
  <c r="G5" i="9" s="1"/>
  <c r="G16" i="9" s="1"/>
  <c r="F7" i="9"/>
  <c r="F5" i="9" s="1"/>
  <c r="E7" i="9"/>
  <c r="E5" i="9" s="1"/>
  <c r="D7" i="9"/>
  <c r="D5" i="9" s="1"/>
  <c r="C7" i="9"/>
  <c r="C5" i="9" s="1"/>
  <c r="B7" i="9"/>
  <c r="B35" i="9" l="1"/>
  <c r="E19" i="9"/>
  <c r="E27" i="9" s="1"/>
  <c r="B19" i="9"/>
  <c r="B5" i="9"/>
  <c r="B45" i="9" s="1"/>
  <c r="J19" i="9"/>
  <c r="J27" i="9" s="1"/>
  <c r="F19" i="9"/>
  <c r="F27" i="9" s="1"/>
  <c r="G36" i="9"/>
  <c r="F16" i="9"/>
  <c r="J16" i="9"/>
  <c r="C16" i="9"/>
  <c r="K16" i="9"/>
  <c r="K36" i="9" s="1"/>
  <c r="D16" i="9"/>
  <c r="H16" i="9"/>
  <c r="E16" i="9"/>
  <c r="E36" i="9" s="1"/>
  <c r="M8" i="9"/>
  <c r="M16" i="9" s="1"/>
  <c r="M36" i="9" s="1"/>
  <c r="I19" i="9"/>
  <c r="I27" i="9" s="1"/>
  <c r="I16" i="9"/>
  <c r="H19" i="9"/>
  <c r="H27" i="9" s="1"/>
  <c r="J36" i="9"/>
  <c r="C36" i="9"/>
  <c r="D19" i="9"/>
  <c r="D27" i="9" s="1"/>
  <c r="L8" i="9"/>
  <c r="L16" i="9" s="1"/>
  <c r="L36" i="9" s="1"/>
  <c r="D36" i="9" l="1"/>
  <c r="B16" i="9"/>
  <c r="B27" i="9"/>
  <c r="I36" i="9"/>
  <c r="F36" i="9"/>
  <c r="H36" i="9"/>
  <c r="B36" i="9" l="1"/>
  <c r="B38" i="9" s="1"/>
  <c r="C37" i="9" s="1"/>
  <c r="C38" i="9" s="1"/>
  <c r="D37" i="9" s="1"/>
  <c r="D38" i="9" s="1"/>
  <c r="E37" i="9" s="1"/>
  <c r="E38" i="9" s="1"/>
  <c r="F37" i="9" s="1"/>
  <c r="F38" i="9" s="1"/>
  <c r="G37" i="9" s="1"/>
  <c r="G38" i="9" s="1"/>
  <c r="H37" i="9" s="1"/>
  <c r="H38" i="9" s="1"/>
  <c r="I37" i="9" s="1"/>
  <c r="I38" i="9" s="1"/>
  <c r="J37" i="9" s="1"/>
  <c r="J38" i="9" s="1"/>
  <c r="K37" i="9" s="1"/>
  <c r="K38" i="9" s="1"/>
  <c r="L37" i="9" s="1"/>
  <c r="L38" i="9" s="1"/>
  <c r="M37" i="9" s="1"/>
  <c r="M38" i="9" s="1"/>
  <c r="N37" i="9" s="1"/>
  <c r="C4" i="6" l="1"/>
  <c r="N17" i="5"/>
  <c r="L7" i="8"/>
  <c r="P7" i="8" s="1"/>
  <c r="AM9" i="5"/>
  <c r="AL9" i="5"/>
  <c r="AK9" i="5"/>
  <c r="AJ9" i="5"/>
  <c r="AI9" i="5"/>
  <c r="AH9" i="5"/>
  <c r="AG9" i="5"/>
  <c r="AF9" i="5"/>
  <c r="AE9" i="5"/>
  <c r="AD9" i="5"/>
  <c r="AK5" i="5"/>
  <c r="AL5" i="5"/>
  <c r="AM5" i="5"/>
  <c r="AJ5" i="5"/>
  <c r="AF5" i="5"/>
  <c r="AG5" i="5"/>
  <c r="AH5" i="5"/>
  <c r="AI5" i="5"/>
  <c r="AE5" i="5"/>
  <c r="AC5" i="5"/>
  <c r="AD5" i="5"/>
  <c r="AB5" i="5"/>
  <c r="C12" i="6"/>
  <c r="AP7" i="8"/>
  <c r="AC7" i="8"/>
  <c r="AP18" i="3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B17" i="2"/>
  <c r="C4" i="3"/>
  <c r="AM4" i="3" s="1"/>
  <c r="AP4" i="3" l="1"/>
  <c r="AO4" i="3"/>
  <c r="S4" i="3"/>
  <c r="AQ4" i="3"/>
  <c r="AL4" i="3"/>
  <c r="AK4" i="3"/>
  <c r="Q4" i="3"/>
  <c r="M4" i="3"/>
  <c r="I4" i="3"/>
  <c r="AD4" i="3"/>
  <c r="Z4" i="3"/>
  <c r="V4" i="3"/>
  <c r="AJ4" i="3"/>
  <c r="D4" i="3"/>
  <c r="P4" i="3"/>
  <c r="L4" i="3"/>
  <c r="H4" i="3"/>
  <c r="AC4" i="3"/>
  <c r="Y4" i="3"/>
  <c r="U4" i="3"/>
  <c r="AI4" i="3"/>
  <c r="E4" i="3"/>
  <c r="O4" i="3"/>
  <c r="K4" i="3"/>
  <c r="G4" i="3"/>
  <c r="AB4" i="3"/>
  <c r="X4" i="3"/>
  <c r="T4" i="3"/>
  <c r="AH4" i="3"/>
  <c r="F4" i="3"/>
  <c r="N4" i="3"/>
  <c r="J4" i="3"/>
  <c r="AA4" i="3"/>
  <c r="W4" i="3"/>
  <c r="AF4" i="3"/>
  <c r="AG4" i="3"/>
  <c r="AN4" i="3"/>
  <c r="AR4" i="3" l="1"/>
  <c r="R4" i="3"/>
  <c r="AE4" i="3"/>
  <c r="P18" i="5" l="1"/>
  <c r="Q18" i="5"/>
  <c r="R18" i="5"/>
  <c r="S18" i="5"/>
  <c r="T18" i="5"/>
  <c r="U18" i="5"/>
  <c r="V18" i="5"/>
  <c r="W18" i="5"/>
  <c r="X18" i="5"/>
  <c r="Y18" i="5"/>
  <c r="Z18" i="5"/>
  <c r="O18" i="5"/>
  <c r="M18" i="5"/>
  <c r="L18" i="5"/>
  <c r="AN17" i="5"/>
  <c r="AA17" i="5"/>
  <c r="AC16" i="5"/>
  <c r="AC18" i="5" s="1"/>
  <c r="AD16" i="5"/>
  <c r="AD18" i="5" s="1"/>
  <c r="AE16" i="5"/>
  <c r="AE18" i="5" s="1"/>
  <c r="AF16" i="5"/>
  <c r="AF18" i="5" s="1"/>
  <c r="AG16" i="5"/>
  <c r="AG18" i="5" s="1"/>
  <c r="AH16" i="5"/>
  <c r="AH18" i="5" s="1"/>
  <c r="AI16" i="5"/>
  <c r="AI18" i="5" s="1"/>
  <c r="AJ16" i="5"/>
  <c r="AJ18" i="5" s="1"/>
  <c r="AK16" i="5"/>
  <c r="AK18" i="5" s="1"/>
  <c r="AL16" i="5"/>
  <c r="AL18" i="5" s="1"/>
  <c r="AM16" i="5"/>
  <c r="AM18" i="5" s="1"/>
  <c r="AN16" i="5"/>
  <c r="AB16" i="5"/>
  <c r="AB18" i="5" s="1"/>
  <c r="AC12" i="5"/>
  <c r="AD12" i="5"/>
  <c r="AE12" i="5"/>
  <c r="AF12" i="5"/>
  <c r="AG12" i="5"/>
  <c r="AH12" i="5"/>
  <c r="AI12" i="5"/>
  <c r="AJ12" i="5"/>
  <c r="AK12" i="5"/>
  <c r="AL12" i="5"/>
  <c r="AM12" i="5"/>
  <c r="AN12" i="5"/>
  <c r="AB12" i="5"/>
  <c r="AC8" i="5"/>
  <c r="AD8" i="5"/>
  <c r="AE8" i="5"/>
  <c r="AF8" i="5"/>
  <c r="AG8" i="5"/>
  <c r="AH8" i="5"/>
  <c r="AI8" i="5"/>
  <c r="AJ8" i="5"/>
  <c r="AK8" i="5"/>
  <c r="AL8" i="5"/>
  <c r="AM8" i="5"/>
  <c r="AN8" i="5"/>
  <c r="AB8" i="5"/>
  <c r="AC4" i="5"/>
  <c r="AD4" i="5"/>
  <c r="AE4" i="5"/>
  <c r="AF4" i="5"/>
  <c r="AG4" i="5"/>
  <c r="AH4" i="5"/>
  <c r="AI4" i="5"/>
  <c r="AJ4" i="5"/>
  <c r="AK4" i="5"/>
  <c r="AL4" i="5"/>
  <c r="AM4" i="5"/>
  <c r="AN4" i="5"/>
  <c r="AB4" i="5"/>
  <c r="AN13" i="5"/>
  <c r="AM8" i="8"/>
  <c r="S8" i="8"/>
  <c r="E8" i="8"/>
  <c r="F8" i="8"/>
  <c r="G8" i="8"/>
  <c r="H8" i="8"/>
  <c r="I8" i="8"/>
  <c r="J8" i="8"/>
  <c r="K8" i="8"/>
  <c r="L8" i="8"/>
  <c r="M8" i="8"/>
  <c r="N8" i="8"/>
  <c r="O8" i="8"/>
  <c r="D8" i="8"/>
  <c r="AA6" i="8"/>
  <c r="AF6" i="8" s="1"/>
  <c r="U6" i="8"/>
  <c r="G7" i="8"/>
  <c r="N8" i="4"/>
  <c r="N18" i="5" l="1"/>
  <c r="AN6" i="8"/>
  <c r="AN18" i="5"/>
  <c r="AK6" i="8"/>
  <c r="AA18" i="5"/>
  <c r="Z6" i="5"/>
  <c r="Z20" i="5" s="1"/>
  <c r="P8" i="8"/>
  <c r="AH5" i="8" l="1"/>
  <c r="AL5" i="8" s="1"/>
  <c r="AF4" i="8"/>
  <c r="AC8" i="4"/>
  <c r="AA13" i="9" s="1"/>
  <c r="AD8" i="4"/>
  <c r="AB13" i="9" s="1"/>
  <c r="AE8" i="4"/>
  <c r="AC13" i="9" s="1"/>
  <c r="AF8" i="4"/>
  <c r="AD13" i="9" s="1"/>
  <c r="AG8" i="4"/>
  <c r="AE13" i="9" s="1"/>
  <c r="AH8" i="4"/>
  <c r="AF13" i="9" s="1"/>
  <c r="AI8" i="4"/>
  <c r="AG13" i="9" s="1"/>
  <c r="AJ8" i="4"/>
  <c r="AH13" i="9" s="1"/>
  <c r="AK8" i="4"/>
  <c r="AI13" i="9" s="1"/>
  <c r="AL8" i="4"/>
  <c r="AJ13" i="9" s="1"/>
  <c r="AM8" i="4"/>
  <c r="AK13" i="9" s="1"/>
  <c r="AB8" i="4"/>
  <c r="Z13" i="9" s="1"/>
  <c r="O6" i="4"/>
  <c r="N11" i="9" s="1"/>
  <c r="C51" i="9" s="1"/>
  <c r="O5" i="4"/>
  <c r="N10" i="9" s="1"/>
  <c r="C6" i="3"/>
  <c r="D53" i="9" l="1"/>
  <c r="C50" i="9"/>
  <c r="O6" i="3"/>
  <c r="L6" i="3"/>
  <c r="P6" i="3"/>
  <c r="N6" i="3"/>
  <c r="M6" i="3"/>
  <c r="Q6" i="3"/>
  <c r="AJ6" i="3"/>
  <c r="AJ4" i="8"/>
  <c r="AF8" i="8"/>
  <c r="AN8" i="4"/>
  <c r="AB6" i="4"/>
  <c r="AB5" i="4"/>
  <c r="X6" i="3"/>
  <c r="G6" i="3"/>
  <c r="AO4" i="8"/>
  <c r="AP6" i="3"/>
  <c r="AH6" i="3"/>
  <c r="AC6" i="3"/>
  <c r="U6" i="3"/>
  <c r="AM6" i="3"/>
  <c r="K6" i="3"/>
  <c r="AB6" i="3"/>
  <c r="T6" i="3"/>
  <c r="AL6" i="3"/>
  <c r="F6" i="3"/>
  <c r="J6" i="3"/>
  <c r="Y6" i="3"/>
  <c r="AQ6" i="3"/>
  <c r="AI6" i="3"/>
  <c r="I6" i="3"/>
  <c r="S6" i="3"/>
  <c r="AA6" i="3"/>
  <c r="W6" i="3"/>
  <c r="AO6" i="3"/>
  <c r="AK6" i="3"/>
  <c r="AG6" i="3"/>
  <c r="D6" i="3"/>
  <c r="E6" i="3" s="1"/>
  <c r="H6" i="3"/>
  <c r="AD6" i="3"/>
  <c r="Z6" i="3"/>
  <c r="V6" i="3"/>
  <c r="AF6" i="3"/>
  <c r="AN6" i="3"/>
  <c r="AN6" i="4" l="1"/>
  <c r="AN5" i="4"/>
  <c r="AR6" i="3"/>
  <c r="R6" i="3"/>
  <c r="AE6" i="3"/>
  <c r="AA6" i="1" l="1"/>
  <c r="AN6" i="1"/>
  <c r="R4" i="8"/>
  <c r="S4" i="8"/>
  <c r="T4" i="8"/>
  <c r="U4" i="8"/>
  <c r="V4" i="8"/>
  <c r="V8" i="8" s="1"/>
  <c r="T9" i="4" s="1"/>
  <c r="W4" i="8"/>
  <c r="X4" i="8"/>
  <c r="Y4" i="8"/>
  <c r="Z4" i="8"/>
  <c r="Z8" i="8" s="1"/>
  <c r="X9" i="4" s="1"/>
  <c r="AA4" i="8"/>
  <c r="AB4" i="8"/>
  <c r="Q4" i="8"/>
  <c r="Q8" i="8" s="1"/>
  <c r="O14" i="5"/>
  <c r="P14" i="5"/>
  <c r="Q14" i="5"/>
  <c r="R14" i="5"/>
  <c r="S14" i="5"/>
  <c r="T14" i="5"/>
  <c r="U14" i="5"/>
  <c r="V14" i="5"/>
  <c r="W14" i="5"/>
  <c r="X14" i="5"/>
  <c r="Y14" i="5"/>
  <c r="Z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C14" i="5"/>
  <c r="D14" i="5"/>
  <c r="E14" i="5"/>
  <c r="F14" i="5"/>
  <c r="G14" i="5"/>
  <c r="H14" i="5"/>
  <c r="I14" i="5"/>
  <c r="J14" i="5"/>
  <c r="K14" i="5"/>
  <c r="L14" i="5"/>
  <c r="M14" i="5"/>
  <c r="B14" i="5"/>
  <c r="AA13" i="5"/>
  <c r="N13" i="5"/>
  <c r="N14" i="5" s="1"/>
  <c r="N5" i="5"/>
  <c r="X10" i="5"/>
  <c r="AR10" i="3"/>
  <c r="AR14" i="3"/>
  <c r="AR17" i="3"/>
  <c r="AR19" i="3"/>
  <c r="AE10" i="3"/>
  <c r="AE14" i="3"/>
  <c r="R17" i="3"/>
  <c r="R18" i="3"/>
  <c r="R19" i="3"/>
  <c r="AA18" i="3"/>
  <c r="D18" i="3"/>
  <c r="C18" i="3"/>
  <c r="C19" i="3"/>
  <c r="C17" i="3"/>
  <c r="T17" i="3" s="1"/>
  <c r="C11" i="3"/>
  <c r="C9" i="4"/>
  <c r="D9" i="4"/>
  <c r="E9" i="4"/>
  <c r="F9" i="4"/>
  <c r="G9" i="4"/>
  <c r="H9" i="4"/>
  <c r="I9" i="4"/>
  <c r="J9" i="4"/>
  <c r="K9" i="4"/>
  <c r="L9" i="4"/>
  <c r="M9" i="4"/>
  <c r="R8" i="8"/>
  <c r="P9" i="4" s="1"/>
  <c r="T8" i="8"/>
  <c r="R9" i="4" s="1"/>
  <c r="W8" i="8"/>
  <c r="U9" i="4" s="1"/>
  <c r="X8" i="8"/>
  <c r="V9" i="4" s="1"/>
  <c r="AB8" i="8"/>
  <c r="Z9" i="4" s="1"/>
  <c r="AD8" i="8"/>
  <c r="AE8" i="8"/>
  <c r="AC9" i="4" s="1"/>
  <c r="AD9" i="4"/>
  <c r="AB14" i="9" s="1"/>
  <c r="AG8" i="8"/>
  <c r="AE9" i="4" s="1"/>
  <c r="AH8" i="8"/>
  <c r="AF9" i="4" s="1"/>
  <c r="AD14" i="9" s="1"/>
  <c r="AI8" i="8"/>
  <c r="AG9" i="4" s="1"/>
  <c r="AJ8" i="8"/>
  <c r="AH9" i="4" s="1"/>
  <c r="AF14" i="9" s="1"/>
  <c r="AK8" i="8"/>
  <c r="AI9" i="4" s="1"/>
  <c r="AG14" i="9" s="1"/>
  <c r="AL8" i="8"/>
  <c r="AJ9" i="4" s="1"/>
  <c r="AH14" i="9" s="1"/>
  <c r="AK9" i="4"/>
  <c r="AN8" i="8"/>
  <c r="AL9" i="4" s="1"/>
  <c r="AJ14" i="9" s="1"/>
  <c r="AO8" i="8"/>
  <c r="AM9" i="4" s="1"/>
  <c r="AK14" i="9" s="1"/>
  <c r="B9" i="4"/>
  <c r="AP5" i="8"/>
  <c r="AP6" i="8"/>
  <c r="AP4" i="8"/>
  <c r="U5" i="8"/>
  <c r="P5" i="8"/>
  <c r="P6" i="8"/>
  <c r="P4" i="8"/>
  <c r="C5" i="3"/>
  <c r="D5" i="3" s="1"/>
  <c r="D54" i="9" l="1"/>
  <c r="M11" i="3"/>
  <c r="Q11" i="3"/>
  <c r="N11" i="3"/>
  <c r="L11" i="3"/>
  <c r="O11" i="3"/>
  <c r="P11" i="3"/>
  <c r="S11" i="3"/>
  <c r="AA14" i="5"/>
  <c r="AN14" i="5"/>
  <c r="O9" i="4"/>
  <c r="AB9" i="4"/>
  <c r="AP8" i="8"/>
  <c r="F5" i="3"/>
  <c r="AI5" i="3"/>
  <c r="AM5" i="3"/>
  <c r="AQ5" i="3"/>
  <c r="AJ5" i="3"/>
  <c r="AN5" i="3"/>
  <c r="AF5" i="3"/>
  <c r="AG5" i="3"/>
  <c r="AK5" i="3"/>
  <c r="AO5" i="3"/>
  <c r="S5" i="3"/>
  <c r="AH5" i="3"/>
  <c r="AL5" i="3"/>
  <c r="AP5" i="3"/>
  <c r="V19" i="3"/>
  <c r="AD19" i="3"/>
  <c r="W19" i="3"/>
  <c r="AC18" i="3"/>
  <c r="AF18" i="3"/>
  <c r="H11" i="3"/>
  <c r="I11" i="3"/>
  <c r="J11" i="3"/>
  <c r="F11" i="3"/>
  <c r="G11" i="3"/>
  <c r="K11" i="3"/>
  <c r="AF11" i="3"/>
  <c r="U8" i="8"/>
  <c r="S9" i="4" s="1"/>
  <c r="R14" i="9" s="1"/>
  <c r="N9" i="4"/>
  <c r="AN9" i="4"/>
  <c r="G5" i="3"/>
  <c r="K5" i="3"/>
  <c r="O5" i="3"/>
  <c r="M5" i="3"/>
  <c r="Q5" i="3"/>
  <c r="N5" i="3"/>
  <c r="H5" i="3"/>
  <c r="L5" i="3"/>
  <c r="P5" i="3"/>
  <c r="I5" i="3"/>
  <c r="J5" i="3"/>
  <c r="S17" i="3"/>
  <c r="W17" i="3"/>
  <c r="Y18" i="3"/>
  <c r="Y17" i="3"/>
  <c r="AC17" i="3"/>
  <c r="U17" i="3"/>
  <c r="D17" i="3"/>
  <c r="E17" i="3" s="1"/>
  <c r="AA17" i="3"/>
  <c r="U19" i="3"/>
  <c r="S19" i="3"/>
  <c r="AC19" i="3"/>
  <c r="Y19" i="3"/>
  <c r="AI18" i="3"/>
  <c r="AH18" i="3"/>
  <c r="AM18" i="3"/>
  <c r="AQ18" i="3"/>
  <c r="AJ18" i="3"/>
  <c r="AL18" i="3"/>
  <c r="AN18" i="3"/>
  <c r="AG18" i="3"/>
  <c r="AK18" i="3"/>
  <c r="AO18" i="3"/>
  <c r="AD17" i="3"/>
  <c r="Z17" i="3"/>
  <c r="V17" i="3"/>
  <c r="AD18" i="3"/>
  <c r="Z18" i="3"/>
  <c r="AB19" i="3"/>
  <c r="X19" i="3"/>
  <c r="T19" i="3"/>
  <c r="AG11" i="3"/>
  <c r="AK11" i="3"/>
  <c r="AO11" i="3"/>
  <c r="AH11" i="3"/>
  <c r="AL11" i="3"/>
  <c r="AP11" i="3"/>
  <c r="AI11" i="3"/>
  <c r="AM11" i="3"/>
  <c r="AQ11" i="3"/>
  <c r="AJ11" i="3"/>
  <c r="AN11" i="3"/>
  <c r="AA19" i="3"/>
  <c r="D19" i="3"/>
  <c r="E19" i="3" s="1"/>
  <c r="E18" i="3"/>
  <c r="AB17" i="3"/>
  <c r="X17" i="3"/>
  <c r="AB18" i="3"/>
  <c r="Z19" i="3"/>
  <c r="AN5" i="5"/>
  <c r="AC4" i="8"/>
  <c r="Q9" i="4"/>
  <c r="AD11" i="3"/>
  <c r="Z11" i="3"/>
  <c r="V11" i="3"/>
  <c r="AC11" i="3"/>
  <c r="Y11" i="3"/>
  <c r="U11" i="3"/>
  <c r="AB11" i="3"/>
  <c r="X11" i="3"/>
  <c r="T11" i="3"/>
  <c r="AA11" i="3"/>
  <c r="W11" i="3"/>
  <c r="D11" i="3"/>
  <c r="E11" i="3" s="1"/>
  <c r="E5" i="3"/>
  <c r="AR18" i="3" l="1"/>
  <c r="AE17" i="3"/>
  <c r="AE18" i="3"/>
  <c r="X5" i="3"/>
  <c r="AB5" i="3"/>
  <c r="W5" i="3"/>
  <c r="T5" i="3"/>
  <c r="U5" i="3"/>
  <c r="Y5" i="3"/>
  <c r="AC5" i="3"/>
  <c r="V5" i="3"/>
  <c r="Z5" i="3"/>
  <c r="AD5" i="3"/>
  <c r="AA5" i="3"/>
  <c r="AR11" i="3"/>
  <c r="AE19" i="3"/>
  <c r="R11" i="3"/>
  <c r="AE11" i="3"/>
  <c r="R5" i="3"/>
  <c r="AE5" i="3" l="1"/>
  <c r="AR5" i="3" l="1"/>
  <c r="C14" i="3" l="1"/>
  <c r="AA8" i="4"/>
  <c r="N6" i="4"/>
  <c r="Y5" i="8"/>
  <c r="AA6" i="4"/>
  <c r="AA5" i="4"/>
  <c r="N5" i="4"/>
  <c r="D14" i="3" l="1"/>
  <c r="E14" i="3" s="1"/>
  <c r="Q14" i="3"/>
  <c r="R14" i="3" s="1"/>
  <c r="AC5" i="8"/>
  <c r="Y8" i="8"/>
  <c r="AA8" i="8"/>
  <c r="Y9" i="4" s="1"/>
  <c r="X14" i="9" s="1"/>
  <c r="C54" i="9" s="1"/>
  <c r="AC6" i="8"/>
  <c r="C10" i="3"/>
  <c r="C9" i="3"/>
  <c r="AM10" i="5"/>
  <c r="AL10" i="5"/>
  <c r="AK10" i="5"/>
  <c r="AJ10" i="5"/>
  <c r="AI10" i="5"/>
  <c r="AH10" i="5"/>
  <c r="AG10" i="5"/>
  <c r="AF10" i="5"/>
  <c r="AD10" i="5"/>
  <c r="AC10" i="5"/>
  <c r="AB10" i="5"/>
  <c r="Z10" i="5"/>
  <c r="Y10" i="5"/>
  <c r="W10" i="5"/>
  <c r="V10" i="5"/>
  <c r="U10" i="5"/>
  <c r="T10" i="5"/>
  <c r="M10" i="5"/>
  <c r="L10" i="5"/>
  <c r="K10" i="5"/>
  <c r="J10" i="5"/>
  <c r="I10" i="5"/>
  <c r="H10" i="5"/>
  <c r="G10" i="5"/>
  <c r="F10" i="5"/>
  <c r="E10" i="5"/>
  <c r="D10" i="5"/>
  <c r="C10" i="5"/>
  <c r="B10" i="5"/>
  <c r="N9" i="5"/>
  <c r="N10" i="5" s="1"/>
  <c r="AA5" i="5"/>
  <c r="O6" i="5"/>
  <c r="P6" i="5"/>
  <c r="T6" i="5"/>
  <c r="T20" i="5" s="1"/>
  <c r="U6" i="5"/>
  <c r="C6" i="5"/>
  <c r="C20" i="5" s="1"/>
  <c r="D6" i="5"/>
  <c r="D20" i="5" s="1"/>
  <c r="E6" i="5"/>
  <c r="E20" i="5" s="1"/>
  <c r="F6" i="5"/>
  <c r="G6" i="5"/>
  <c r="G20" i="5" s="1"/>
  <c r="H6" i="5"/>
  <c r="H20" i="5" s="1"/>
  <c r="I6" i="5"/>
  <c r="I20" i="5" s="1"/>
  <c r="J6" i="5"/>
  <c r="J20" i="5" s="1"/>
  <c r="K6" i="5"/>
  <c r="K20" i="5" s="1"/>
  <c r="L6" i="5"/>
  <c r="M6" i="5"/>
  <c r="M20" i="5" s="1"/>
  <c r="M4" i="1" s="1"/>
  <c r="V6" i="5"/>
  <c r="V20" i="5" s="1"/>
  <c r="W6" i="5"/>
  <c r="W20" i="5" s="1"/>
  <c r="X6" i="5"/>
  <c r="X20" i="5" s="1"/>
  <c r="Y6" i="5"/>
  <c r="AB6" i="5"/>
  <c r="AC6" i="5"/>
  <c r="AD6" i="5"/>
  <c r="AD20" i="5" s="1"/>
  <c r="AB7" i="9" s="1"/>
  <c r="AB5" i="9" s="1"/>
  <c r="AE6" i="5"/>
  <c r="AF6" i="5"/>
  <c r="AG6" i="5"/>
  <c r="AG20" i="5" s="1"/>
  <c r="AE7" i="9" s="1"/>
  <c r="AE5" i="9" s="1"/>
  <c r="AH6" i="5"/>
  <c r="AI6" i="5"/>
  <c r="AJ6" i="5"/>
  <c r="AK6" i="5"/>
  <c r="AK20" i="5" s="1"/>
  <c r="AI7" i="9" s="1"/>
  <c r="AI5" i="9" s="1"/>
  <c r="AL6" i="5"/>
  <c r="AM6" i="5"/>
  <c r="B6" i="5"/>
  <c r="B20" i="5" s="1"/>
  <c r="D15" i="4"/>
  <c r="D14" i="4"/>
  <c r="AI20" i="5" l="1"/>
  <c r="AG7" i="9" s="1"/>
  <c r="AG5" i="9" s="1"/>
  <c r="D10" i="3"/>
  <c r="E10" i="3" s="1"/>
  <c r="N10" i="3"/>
  <c r="O9" i="3"/>
  <c r="N9" i="3"/>
  <c r="P9" i="3"/>
  <c r="L9" i="3"/>
  <c r="M9" i="3"/>
  <c r="Q9" i="3"/>
  <c r="AM20" i="5"/>
  <c r="AB20" i="5"/>
  <c r="Z7" i="9" s="1"/>
  <c r="U20" i="5"/>
  <c r="F20" i="5"/>
  <c r="AC20" i="5"/>
  <c r="AH20" i="5"/>
  <c r="AJ20" i="5"/>
  <c r="AH7" i="9" s="1"/>
  <c r="AH5" i="9" s="1"/>
  <c r="AF20" i="5"/>
  <c r="AD7" i="9" s="1"/>
  <c r="AD5" i="9" s="1"/>
  <c r="W9" i="4"/>
  <c r="AC8" i="8"/>
  <c r="Y20" i="5"/>
  <c r="AL20" i="5"/>
  <c r="AJ7" i="9" s="1"/>
  <c r="AJ5" i="9" s="1"/>
  <c r="AN6" i="5"/>
  <c r="L20" i="5"/>
  <c r="L4" i="1" s="1"/>
  <c r="N6" i="5"/>
  <c r="N20" i="5" s="1"/>
  <c r="B4" i="6" s="1"/>
  <c r="W9" i="3"/>
  <c r="W21" i="3" s="1"/>
  <c r="AA9" i="3"/>
  <c r="AA21" i="3" s="1"/>
  <c r="Y9" i="3"/>
  <c r="Y21" i="3" s="1"/>
  <c r="X9" i="3"/>
  <c r="X21" i="3" s="1"/>
  <c r="AB9" i="3"/>
  <c r="AB21" i="3" s="1"/>
  <c r="U9" i="3"/>
  <c r="U21" i="3" s="1"/>
  <c r="AC9" i="3"/>
  <c r="AC21" i="3" s="1"/>
  <c r="V9" i="3"/>
  <c r="V21" i="3" s="1"/>
  <c r="Z9" i="3"/>
  <c r="Z21" i="3" s="1"/>
  <c r="AD9" i="3"/>
  <c r="V4" i="1"/>
  <c r="Z4" i="1"/>
  <c r="F4" i="1"/>
  <c r="AD4" i="1"/>
  <c r="Y4" i="1"/>
  <c r="I4" i="1"/>
  <c r="E4" i="1"/>
  <c r="X4" i="1"/>
  <c r="AI4" i="1"/>
  <c r="J4" i="1"/>
  <c r="W4" i="1"/>
  <c r="AA9" i="4"/>
  <c r="T9" i="3"/>
  <c r="T21" i="3" s="1"/>
  <c r="S9" i="3"/>
  <c r="S21" i="3" s="1"/>
  <c r="D16" i="4"/>
  <c r="D9" i="3"/>
  <c r="E9" i="3" s="1"/>
  <c r="H9" i="3"/>
  <c r="I9" i="3"/>
  <c r="J9" i="3"/>
  <c r="F9" i="3"/>
  <c r="G9" i="3"/>
  <c r="K9" i="3"/>
  <c r="I10" i="3"/>
  <c r="J10" i="3"/>
  <c r="F10" i="3"/>
  <c r="K10" i="3"/>
  <c r="O10" i="3"/>
  <c r="G10" i="3"/>
  <c r="M10" i="3"/>
  <c r="Q10" i="3"/>
  <c r="H10" i="3"/>
  <c r="L10" i="3"/>
  <c r="P10" i="3"/>
  <c r="O9" i="5"/>
  <c r="P10" i="5" s="1"/>
  <c r="P20" i="5" s="1"/>
  <c r="R6" i="5"/>
  <c r="R20" i="5" s="1"/>
  <c r="AH4" i="1" l="1"/>
  <c r="AF7" i="9"/>
  <c r="AF5" i="9" s="1"/>
  <c r="Z5" i="9"/>
  <c r="AC4" i="1"/>
  <c r="AA7" i="9"/>
  <c r="AA5" i="9" s="1"/>
  <c r="AM4" i="1"/>
  <c r="AK7" i="9"/>
  <c r="AK5" i="9" s="1"/>
  <c r="N21" i="3"/>
  <c r="F21" i="3"/>
  <c r="F27" i="3" s="1"/>
  <c r="O21" i="3"/>
  <c r="O30" i="3" s="1"/>
  <c r="AD21" i="3"/>
  <c r="AE21" i="3" s="1"/>
  <c r="AF9" i="3"/>
  <c r="AF21" i="3" s="1"/>
  <c r="G21" i="3"/>
  <c r="I21" i="3"/>
  <c r="I30" i="3" s="1"/>
  <c r="B6" i="1"/>
  <c r="N6" i="1" s="1"/>
  <c r="AL4" i="1"/>
  <c r="K21" i="3"/>
  <c r="K30" i="3" s="1"/>
  <c r="J21" i="3"/>
  <c r="J30" i="3" s="1"/>
  <c r="P21" i="3"/>
  <c r="P30" i="3" s="1"/>
  <c r="Q21" i="3"/>
  <c r="L21" i="3"/>
  <c r="M21" i="3"/>
  <c r="M30" i="3" s="1"/>
  <c r="H21" i="3"/>
  <c r="H30" i="3" s="1"/>
  <c r="V30" i="3"/>
  <c r="V28" i="3"/>
  <c r="V29" i="3"/>
  <c r="V23" i="3"/>
  <c r="V24" i="3" s="1"/>
  <c r="V27" i="3"/>
  <c r="X23" i="3"/>
  <c r="X24" i="3" s="1"/>
  <c r="X29" i="3"/>
  <c r="X30" i="3"/>
  <c r="X28" i="3"/>
  <c r="X27" i="3"/>
  <c r="AC30" i="3"/>
  <c r="AC28" i="3"/>
  <c r="AC27" i="3"/>
  <c r="AC29" i="3"/>
  <c r="AC23" i="3"/>
  <c r="AC24" i="3" s="1"/>
  <c r="Y27" i="3"/>
  <c r="Y30" i="3"/>
  <c r="Y28" i="3"/>
  <c r="Y29" i="3"/>
  <c r="Y23" i="3"/>
  <c r="Y24" i="3" s="1"/>
  <c r="AI9" i="3"/>
  <c r="AI21" i="3" s="1"/>
  <c r="AM9" i="3"/>
  <c r="AM21" i="3" s="1"/>
  <c r="AQ9" i="3"/>
  <c r="AQ21" i="3" s="1"/>
  <c r="AQ27" i="3" s="1"/>
  <c r="AH9" i="3"/>
  <c r="AH21" i="3" s="1"/>
  <c r="AL9" i="3"/>
  <c r="AL21" i="3" s="1"/>
  <c r="AJ9" i="3"/>
  <c r="AJ21" i="3" s="1"/>
  <c r="AN9" i="3"/>
  <c r="AN21" i="3" s="1"/>
  <c r="AG9" i="3"/>
  <c r="AG21" i="3" s="1"/>
  <c r="AK9" i="3"/>
  <c r="AK21" i="3" s="1"/>
  <c r="AO9" i="3"/>
  <c r="AO21" i="3" s="1"/>
  <c r="AP9" i="3"/>
  <c r="AP21" i="3" s="1"/>
  <c r="U30" i="3"/>
  <c r="U29" i="3"/>
  <c r="U28" i="3"/>
  <c r="U27" i="3"/>
  <c r="U23" i="3"/>
  <c r="U24" i="3" s="1"/>
  <c r="AA30" i="3"/>
  <c r="AA23" i="3"/>
  <c r="AA24" i="3" s="1"/>
  <c r="AA27" i="3"/>
  <c r="AA29" i="3"/>
  <c r="AA28" i="3"/>
  <c r="Z30" i="3"/>
  <c r="Z28" i="3"/>
  <c r="Z23" i="3"/>
  <c r="Z24" i="3" s="1"/>
  <c r="Z29" i="3"/>
  <c r="Z27" i="3"/>
  <c r="AB29" i="3"/>
  <c r="AB30" i="3"/>
  <c r="AB28" i="3"/>
  <c r="AB27" i="3"/>
  <c r="AB23" i="3"/>
  <c r="AB24" i="3" s="1"/>
  <c r="W30" i="3"/>
  <c r="W27" i="3"/>
  <c r="W28" i="3"/>
  <c r="W23" i="3"/>
  <c r="W24" i="3" s="1"/>
  <c r="W29" i="3"/>
  <c r="T4" i="1"/>
  <c r="AF4" i="1"/>
  <c r="AJ4" i="1"/>
  <c r="C4" i="1"/>
  <c r="U4" i="1"/>
  <c r="H4" i="1"/>
  <c r="B4" i="1"/>
  <c r="K4" i="1"/>
  <c r="AG4" i="1"/>
  <c r="P4" i="1"/>
  <c r="D4" i="1"/>
  <c r="AK4" i="1"/>
  <c r="G4" i="1"/>
  <c r="AB4" i="1"/>
  <c r="R10" i="3"/>
  <c r="N30" i="3"/>
  <c r="R9" i="3"/>
  <c r="AE9" i="3"/>
  <c r="O10" i="5"/>
  <c r="Q10" i="5"/>
  <c r="S6" i="5"/>
  <c r="S20" i="5" s="1"/>
  <c r="Q6" i="5"/>
  <c r="AA10" i="5" l="1"/>
  <c r="O20" i="5"/>
  <c r="F23" i="3"/>
  <c r="F24" i="3" s="1"/>
  <c r="Q20" i="5"/>
  <c r="AA6" i="5"/>
  <c r="AA20" i="5" s="1"/>
  <c r="AR21" i="3"/>
  <c r="Y31" i="3"/>
  <c r="Y32" i="3" s="1"/>
  <c r="U7" i="4" s="1"/>
  <c r="R21" i="3"/>
  <c r="W31" i="3"/>
  <c r="W32" i="3" s="1"/>
  <c r="S7" i="4" s="1"/>
  <c r="AN30" i="3"/>
  <c r="AN28" i="3"/>
  <c r="AN27" i="3"/>
  <c r="AN29" i="3"/>
  <c r="AN23" i="3"/>
  <c r="AN24" i="3" s="1"/>
  <c r="AK30" i="3"/>
  <c r="AK28" i="3"/>
  <c r="AK27" i="3"/>
  <c r="AK23" i="3"/>
  <c r="AK24" i="3" s="1"/>
  <c r="AK29" i="3"/>
  <c r="AJ27" i="3"/>
  <c r="AJ30" i="3"/>
  <c r="AJ23" i="3"/>
  <c r="AJ24" i="3" s="1"/>
  <c r="AJ29" i="3"/>
  <c r="AJ28" i="3"/>
  <c r="AM27" i="3"/>
  <c r="AM28" i="3"/>
  <c r="AM23" i="3"/>
  <c r="AM24" i="3" s="1"/>
  <c r="AM30" i="3"/>
  <c r="AM29" i="3"/>
  <c r="X31" i="3"/>
  <c r="X32" i="3" s="1"/>
  <c r="T7" i="4" s="1"/>
  <c r="S12" i="9" s="1"/>
  <c r="AP27" i="3"/>
  <c r="AP23" i="3"/>
  <c r="AP24" i="3" s="1"/>
  <c r="AP28" i="3"/>
  <c r="AP29" i="3"/>
  <c r="AP30" i="3"/>
  <c r="AR9" i="3"/>
  <c r="AH30" i="3"/>
  <c r="AH27" i="3"/>
  <c r="AH29" i="3"/>
  <c r="AH23" i="3"/>
  <c r="AH24" i="3" s="1"/>
  <c r="AH28" i="3"/>
  <c r="AO30" i="3"/>
  <c r="AO28" i="3"/>
  <c r="AO23" i="3"/>
  <c r="AO24" i="3" s="1"/>
  <c r="AO29" i="3"/>
  <c r="AO27" i="3"/>
  <c r="AQ29" i="3"/>
  <c r="AQ30" i="3"/>
  <c r="AQ28" i="3"/>
  <c r="AQ23" i="3"/>
  <c r="AQ24" i="3" s="1"/>
  <c r="AB31" i="3"/>
  <c r="AB32" i="3" s="1"/>
  <c r="X7" i="4" s="1"/>
  <c r="W12" i="9" s="1"/>
  <c r="Z31" i="3"/>
  <c r="Z32" i="3" s="1"/>
  <c r="V7" i="4" s="1"/>
  <c r="U12" i="9" s="1"/>
  <c r="AA31" i="3"/>
  <c r="AA32" i="3" s="1"/>
  <c r="W7" i="4" s="1"/>
  <c r="V12" i="9" s="1"/>
  <c r="U31" i="3"/>
  <c r="U32" i="3" s="1"/>
  <c r="Q7" i="4" s="1"/>
  <c r="P12" i="9" s="1"/>
  <c r="AD30" i="3"/>
  <c r="AD23" i="3"/>
  <c r="AD24" i="3" s="1"/>
  <c r="AD27" i="3"/>
  <c r="AD29" i="3"/>
  <c r="AD28" i="3"/>
  <c r="AG30" i="3"/>
  <c r="AG28" i="3"/>
  <c r="AG23" i="3"/>
  <c r="AG24" i="3" s="1"/>
  <c r="AG27" i="3"/>
  <c r="AG29" i="3"/>
  <c r="AL23" i="3"/>
  <c r="AL24" i="3" s="1"/>
  <c r="AL28" i="3"/>
  <c r="AL27" i="3"/>
  <c r="AL30" i="3"/>
  <c r="AL29" i="3"/>
  <c r="AI28" i="3"/>
  <c r="AI27" i="3"/>
  <c r="AI30" i="3"/>
  <c r="AI23" i="3"/>
  <c r="AI24" i="3" s="1"/>
  <c r="AI29" i="3"/>
  <c r="AC31" i="3"/>
  <c r="AC32" i="3" s="1"/>
  <c r="Y7" i="4" s="1"/>
  <c r="X12" i="9" s="1"/>
  <c r="V31" i="3"/>
  <c r="V32" i="3" s="1"/>
  <c r="R7" i="4" s="1"/>
  <c r="Q12" i="9" s="1"/>
  <c r="Q29" i="3"/>
  <c r="Q30" i="3"/>
  <c r="Q4" i="1"/>
  <c r="O4" i="1"/>
  <c r="N4" i="1"/>
  <c r="G30" i="3"/>
  <c r="G28" i="3"/>
  <c r="P23" i="3"/>
  <c r="P24" i="3" s="1"/>
  <c r="T27" i="3"/>
  <c r="T30" i="3"/>
  <c r="S27" i="3"/>
  <c r="S30" i="3"/>
  <c r="L23" i="3"/>
  <c r="L24" i="3" s="1"/>
  <c r="L30" i="3"/>
  <c r="F30" i="3"/>
  <c r="L28" i="3"/>
  <c r="L29" i="3"/>
  <c r="T28" i="3"/>
  <c r="S29" i="3"/>
  <c r="S23" i="3"/>
  <c r="S24" i="3" s="1"/>
  <c r="T29" i="3"/>
  <c r="T23" i="3"/>
  <c r="T24" i="3" s="1"/>
  <c r="S28" i="3"/>
  <c r="L27" i="3"/>
  <c r="G23" i="3"/>
  <c r="G27" i="3"/>
  <c r="G29" i="3"/>
  <c r="P28" i="3"/>
  <c r="P27" i="3"/>
  <c r="P29" i="3"/>
  <c r="K28" i="3"/>
  <c r="K29" i="3"/>
  <c r="K23" i="3"/>
  <c r="K24" i="3" s="1"/>
  <c r="K27" i="3"/>
  <c r="M29" i="3"/>
  <c r="M27" i="3"/>
  <c r="M28" i="3"/>
  <c r="M23" i="3"/>
  <c r="M24" i="3" s="1"/>
  <c r="I29" i="3"/>
  <c r="I27" i="3"/>
  <c r="I23" i="3"/>
  <c r="I24" i="3" s="1"/>
  <c r="I28" i="3"/>
  <c r="F29" i="3"/>
  <c r="F28" i="3"/>
  <c r="N28" i="3"/>
  <c r="N29" i="3"/>
  <c r="N27" i="3"/>
  <c r="N23" i="3"/>
  <c r="N24" i="3" s="1"/>
  <c r="H23" i="3"/>
  <c r="H24" i="3" s="1"/>
  <c r="H27" i="3"/>
  <c r="H28" i="3"/>
  <c r="H29" i="3"/>
  <c r="J23" i="3"/>
  <c r="J24" i="3" s="1"/>
  <c r="J29" i="3"/>
  <c r="J27" i="3"/>
  <c r="J28" i="3"/>
  <c r="Q27" i="3"/>
  <c r="Q28" i="3"/>
  <c r="Q23" i="3"/>
  <c r="Q24" i="3" s="1"/>
  <c r="O28" i="3"/>
  <c r="O27" i="3"/>
  <c r="O29" i="3"/>
  <c r="O23" i="3"/>
  <c r="O24" i="3" s="1"/>
  <c r="R9" i="5"/>
  <c r="S10" i="4" l="1"/>
  <c r="S5" i="1" s="1"/>
  <c r="R12" i="9"/>
  <c r="U10" i="4"/>
  <c r="U5" i="1" s="1"/>
  <c r="U7" i="1" s="1"/>
  <c r="U8" i="1" s="1"/>
  <c r="T15" i="9" s="1"/>
  <c r="T12" i="9"/>
  <c r="AK31" i="3"/>
  <c r="AK32" i="3" s="1"/>
  <c r="AG7" i="4" s="1"/>
  <c r="AF28" i="3"/>
  <c r="AR28" i="3" s="1"/>
  <c r="AF23" i="3"/>
  <c r="AR23" i="3" s="1"/>
  <c r="AF29" i="3"/>
  <c r="AR29" i="3" s="1"/>
  <c r="AF30" i="3"/>
  <c r="AR30" i="3" s="1"/>
  <c r="AF27" i="3"/>
  <c r="AR27" i="3" s="1"/>
  <c r="AM31" i="3"/>
  <c r="AM32" i="3" s="1"/>
  <c r="AI7" i="4" s="1"/>
  <c r="AG12" i="9" s="1"/>
  <c r="Q10" i="4"/>
  <c r="Q5" i="1" s="1"/>
  <c r="Q7" i="1" s="1"/>
  <c r="Q8" i="1" s="1"/>
  <c r="P15" i="9" s="1"/>
  <c r="P8" i="9" s="1"/>
  <c r="P16" i="9" s="1"/>
  <c r="P36" i="9" s="1"/>
  <c r="AE28" i="3"/>
  <c r="AE29" i="3"/>
  <c r="AE27" i="3"/>
  <c r="R10" i="4"/>
  <c r="R5" i="1" s="1"/>
  <c r="AD31" i="3"/>
  <c r="AD32" i="3" s="1"/>
  <c r="Z7" i="4" s="1"/>
  <c r="Y12" i="9" s="1"/>
  <c r="W10" i="4"/>
  <c r="W5" i="1" s="1"/>
  <c r="W7" i="1" s="1"/>
  <c r="W8" i="1" s="1"/>
  <c r="V15" i="9" s="1"/>
  <c r="V8" i="9" s="1"/>
  <c r="V16" i="9" s="1"/>
  <c r="V36" i="9" s="1"/>
  <c r="AQ31" i="3"/>
  <c r="AQ32" i="3" s="1"/>
  <c r="AO31" i="3"/>
  <c r="AO32" i="3" s="1"/>
  <c r="AK7" i="4" s="1"/>
  <c r="AI12" i="9" s="1"/>
  <c r="AH31" i="3"/>
  <c r="AH32" i="3" s="1"/>
  <c r="AD7" i="4" s="1"/>
  <c r="AB12" i="9" s="1"/>
  <c r="AP31" i="3"/>
  <c r="AP32" i="3" s="1"/>
  <c r="AL7" i="4" s="1"/>
  <c r="AJ12" i="9" s="1"/>
  <c r="X10" i="4"/>
  <c r="X5" i="1" s="1"/>
  <c r="X7" i="1" s="1"/>
  <c r="X8" i="1" s="1"/>
  <c r="W15" i="9" s="1"/>
  <c r="W8" i="9" s="1"/>
  <c r="W16" i="9" s="1"/>
  <c r="W36" i="9" s="1"/>
  <c r="AJ31" i="3"/>
  <c r="AJ32" i="3" s="1"/>
  <c r="AF7" i="4" s="1"/>
  <c r="AD12" i="9" s="1"/>
  <c r="AN31" i="3"/>
  <c r="AN32" i="3" s="1"/>
  <c r="AJ7" i="4" s="1"/>
  <c r="AH12" i="9" s="1"/>
  <c r="Y10" i="4"/>
  <c r="Y5" i="1" s="1"/>
  <c r="Y7" i="1" s="1"/>
  <c r="Y8" i="1" s="1"/>
  <c r="X15" i="9" s="1"/>
  <c r="X8" i="9" s="1"/>
  <c r="X16" i="9" s="1"/>
  <c r="X36" i="9" s="1"/>
  <c r="AI31" i="3"/>
  <c r="AI32" i="3" s="1"/>
  <c r="AE7" i="4" s="1"/>
  <c r="AC12" i="9" s="1"/>
  <c r="AL31" i="3"/>
  <c r="AL32" i="3" s="1"/>
  <c r="AH7" i="4" s="1"/>
  <c r="AF12" i="9" s="1"/>
  <c r="AG31" i="3"/>
  <c r="AG32" i="3" s="1"/>
  <c r="AC7" i="4" s="1"/>
  <c r="AA12" i="9" s="1"/>
  <c r="V10" i="4"/>
  <c r="V5" i="1" s="1"/>
  <c r="V7" i="1" s="1"/>
  <c r="V8" i="1" s="1"/>
  <c r="U15" i="9" s="1"/>
  <c r="U8" i="9" s="1"/>
  <c r="U16" i="9" s="1"/>
  <c r="U36" i="9" s="1"/>
  <c r="T10" i="4"/>
  <c r="T5" i="1" s="1"/>
  <c r="T7" i="1" s="1"/>
  <c r="T8" i="1" s="1"/>
  <c r="S15" i="9" s="1"/>
  <c r="S8" i="9" s="1"/>
  <c r="S16" i="9" s="1"/>
  <c r="S36" i="9" s="1"/>
  <c r="AE30" i="3"/>
  <c r="R30" i="3"/>
  <c r="R27" i="3"/>
  <c r="R28" i="3"/>
  <c r="R29" i="3"/>
  <c r="S31" i="3"/>
  <c r="F31" i="3"/>
  <c r="I31" i="3"/>
  <c r="I32" i="3" s="1"/>
  <c r="E7" i="4" s="1"/>
  <c r="E10" i="4" s="1"/>
  <c r="M31" i="3"/>
  <c r="M32" i="3" s="1"/>
  <c r="I7" i="4" s="1"/>
  <c r="N31" i="3"/>
  <c r="N32" i="3" s="1"/>
  <c r="J7" i="4" s="1"/>
  <c r="L31" i="3"/>
  <c r="L32" i="3" s="1"/>
  <c r="H7" i="4" s="1"/>
  <c r="T31" i="3"/>
  <c r="T32" i="3" s="1"/>
  <c r="P7" i="4" s="1"/>
  <c r="O12" i="9" s="1"/>
  <c r="Q31" i="3"/>
  <c r="H31" i="3"/>
  <c r="H32" i="3" s="1"/>
  <c r="D7" i="4" s="1"/>
  <c r="K31" i="3"/>
  <c r="K32" i="3" s="1"/>
  <c r="G7" i="4" s="1"/>
  <c r="G31" i="3"/>
  <c r="J31" i="3"/>
  <c r="J32" i="3" s="1"/>
  <c r="F7" i="4" s="1"/>
  <c r="O31" i="3"/>
  <c r="O32" i="3" s="1"/>
  <c r="K7" i="4" s="1"/>
  <c r="P31" i="3"/>
  <c r="P32" i="3" s="1"/>
  <c r="L7" i="4" s="1"/>
  <c r="AE23" i="3"/>
  <c r="AE24" i="3"/>
  <c r="G24" i="3"/>
  <c r="R24" i="3" s="1"/>
  <c r="R23" i="3"/>
  <c r="R10" i="5"/>
  <c r="AA9" i="5"/>
  <c r="S10" i="5"/>
  <c r="AG10" i="4" l="1"/>
  <c r="AG5" i="1" s="1"/>
  <c r="AG7" i="1" s="1"/>
  <c r="AE12" i="9"/>
  <c r="T8" i="9"/>
  <c r="T16" i="9" s="1"/>
  <c r="T36" i="9" s="1"/>
  <c r="AM7" i="4"/>
  <c r="AF10" i="4"/>
  <c r="AF5" i="1" s="1"/>
  <c r="AF7" i="1" s="1"/>
  <c r="Z10" i="4"/>
  <c r="Z5" i="1" s="1"/>
  <c r="Z7" i="1" s="1"/>
  <c r="Z8" i="1" s="1"/>
  <c r="Y15" i="9" s="1"/>
  <c r="Y8" i="9" s="1"/>
  <c r="Y16" i="9" s="1"/>
  <c r="Y36" i="9" s="1"/>
  <c r="AI10" i="4"/>
  <c r="AI5" i="1" s="1"/>
  <c r="AI7" i="1" s="1"/>
  <c r="AF24" i="3"/>
  <c r="AC10" i="4"/>
  <c r="AC5" i="1" s="1"/>
  <c r="AC7" i="1" s="1"/>
  <c r="AL10" i="4"/>
  <c r="AL5" i="1" s="1"/>
  <c r="AL7" i="1" s="1"/>
  <c r="AF31" i="3"/>
  <c r="AR31" i="3" s="1"/>
  <c r="AE10" i="4"/>
  <c r="AE5" i="1" s="1"/>
  <c r="AK10" i="4"/>
  <c r="AK5" i="1" s="1"/>
  <c r="AK7" i="1" s="1"/>
  <c r="AE31" i="3"/>
  <c r="AJ10" i="4"/>
  <c r="AJ5" i="1" s="1"/>
  <c r="AJ7" i="1" s="1"/>
  <c r="AH10" i="4"/>
  <c r="AH5" i="1" s="1"/>
  <c r="AH7" i="1" s="1"/>
  <c r="AD10" i="4"/>
  <c r="AD5" i="1" s="1"/>
  <c r="AD7" i="1" s="1"/>
  <c r="Q32" i="3"/>
  <c r="M7" i="4" s="1"/>
  <c r="R31" i="3"/>
  <c r="F32" i="3"/>
  <c r="R4" i="1"/>
  <c r="R7" i="1" s="1"/>
  <c r="R8" i="1" s="1"/>
  <c r="Q15" i="9" s="1"/>
  <c r="Q8" i="9" s="1"/>
  <c r="Q16" i="9" s="1"/>
  <c r="Q36" i="9" s="1"/>
  <c r="S4" i="1"/>
  <c r="S7" i="1" s="1"/>
  <c r="S8" i="1" s="1"/>
  <c r="R15" i="9" s="1"/>
  <c r="R8" i="9" s="1"/>
  <c r="R16" i="9" s="1"/>
  <c r="R36" i="9" s="1"/>
  <c r="I10" i="4"/>
  <c r="I5" i="1" s="1"/>
  <c r="I7" i="1" s="1"/>
  <c r="P10" i="4"/>
  <c r="P5" i="1" s="1"/>
  <c r="P7" i="1" s="1"/>
  <c r="P8" i="1" s="1"/>
  <c r="O15" i="9" s="1"/>
  <c r="O8" i="9" s="1"/>
  <c r="O16" i="9" s="1"/>
  <c r="O36" i="9" s="1"/>
  <c r="K10" i="4"/>
  <c r="K5" i="1" s="1"/>
  <c r="K7" i="1" s="1"/>
  <c r="G10" i="4"/>
  <c r="G5" i="1" s="1"/>
  <c r="G7" i="1" s="1"/>
  <c r="H10" i="4"/>
  <c r="H5" i="1" s="1"/>
  <c r="H7" i="1" s="1"/>
  <c r="F10" i="4"/>
  <c r="F5" i="1" s="1"/>
  <c r="F7" i="1" s="1"/>
  <c r="L10" i="4"/>
  <c r="L5" i="1" s="1"/>
  <c r="L7" i="1" s="1"/>
  <c r="D10" i="4"/>
  <c r="D5" i="1" s="1"/>
  <c r="D7" i="1" s="1"/>
  <c r="J10" i="4"/>
  <c r="J5" i="1" s="1"/>
  <c r="J7" i="1" s="1"/>
  <c r="E5" i="1"/>
  <c r="E7" i="1" s="1"/>
  <c r="S32" i="3"/>
  <c r="G32" i="3"/>
  <c r="C7" i="4" s="1"/>
  <c r="AN9" i="5"/>
  <c r="AE10" i="5"/>
  <c r="AM10" i="4" l="1"/>
  <c r="AM5" i="1" s="1"/>
  <c r="AM7" i="1" s="1"/>
  <c r="AK12" i="9"/>
  <c r="AN10" i="5"/>
  <c r="AN20" i="5" s="1"/>
  <c r="D4" i="6" s="1"/>
  <c r="AE20" i="5"/>
  <c r="AC7" i="9" s="1"/>
  <c r="AR24" i="3"/>
  <c r="AF32" i="3"/>
  <c r="AR32" i="3" s="1"/>
  <c r="O7" i="4"/>
  <c r="N12" i="9" s="1"/>
  <c r="AE32" i="3"/>
  <c r="M10" i="4"/>
  <c r="M5" i="1" s="1"/>
  <c r="M7" i="1" s="1"/>
  <c r="M9" i="1" s="1"/>
  <c r="R32" i="3"/>
  <c r="AA4" i="1"/>
  <c r="AE4" i="1"/>
  <c r="AN4" i="1" s="1"/>
  <c r="C10" i="4"/>
  <c r="C5" i="1" s="1"/>
  <c r="C7" i="1" s="1"/>
  <c r="B7" i="4"/>
  <c r="B10" i="4" s="1"/>
  <c r="C52" i="9" l="1"/>
  <c r="AC5" i="9"/>
  <c r="D45" i="9" s="1"/>
  <c r="D47" i="9"/>
  <c r="B22" i="5"/>
  <c r="B23" i="5" s="1"/>
  <c r="AE7" i="1"/>
  <c r="AB7" i="4"/>
  <c r="Z12" i="9" s="1"/>
  <c r="AA7" i="4"/>
  <c r="AA10" i="4" s="1"/>
  <c r="C3" i="6" s="1"/>
  <c r="O10" i="4"/>
  <c r="N7" i="4"/>
  <c r="N10" i="4" s="1"/>
  <c r="B3" i="6" s="1"/>
  <c r="B5" i="1"/>
  <c r="D52" i="9" l="1"/>
  <c r="B7" i="1"/>
  <c r="B9" i="1" s="1"/>
  <c r="N5" i="1"/>
  <c r="O5" i="1"/>
  <c r="AB10" i="4"/>
  <c r="AB5" i="1" s="1"/>
  <c r="AN7" i="4"/>
  <c r="AN10" i="4" s="1"/>
  <c r="D3" i="6" s="1"/>
  <c r="O7" i="1" l="1"/>
  <c r="O8" i="1" s="1"/>
  <c r="AA5" i="1"/>
  <c r="N7" i="1"/>
  <c r="AB7" i="1"/>
  <c r="AN5" i="1"/>
  <c r="C9" i="1"/>
  <c r="AA8" i="1" l="1"/>
  <c r="C5" i="6" s="1"/>
  <c r="C6" i="6" s="1"/>
  <c r="N15" i="9"/>
  <c r="AN7" i="1"/>
  <c r="AB8" i="1"/>
  <c r="Z15" i="9" s="1"/>
  <c r="AA7" i="1"/>
  <c r="AH8" i="1"/>
  <c r="AF15" i="9" s="1"/>
  <c r="AF8" i="9" s="1"/>
  <c r="AF16" i="9" s="1"/>
  <c r="AF36" i="9" s="1"/>
  <c r="AG8" i="1"/>
  <c r="AE15" i="9" s="1"/>
  <c r="AE8" i="9" s="1"/>
  <c r="AE16" i="9" s="1"/>
  <c r="AE36" i="9" s="1"/>
  <c r="AM8" i="1"/>
  <c r="AK15" i="9" s="1"/>
  <c r="AK8" i="9" s="1"/>
  <c r="AK16" i="9" s="1"/>
  <c r="AK36" i="9" s="1"/>
  <c r="Z8" i="9" l="1"/>
  <c r="C55" i="9"/>
  <c r="N8" i="9"/>
  <c r="J9" i="1"/>
  <c r="D9" i="1"/>
  <c r="U9" i="1"/>
  <c r="AM9" i="1"/>
  <c r="AH9" i="1"/>
  <c r="G9" i="1"/>
  <c r="AE8" i="1"/>
  <c r="AC15" i="9" s="1"/>
  <c r="AC8" i="9" s="1"/>
  <c r="AC16" i="9" s="1"/>
  <c r="AC36" i="9" s="1"/>
  <c r="AC8" i="1"/>
  <c r="AA15" i="9" s="1"/>
  <c r="AA8" i="9" s="1"/>
  <c r="AA16" i="9" s="1"/>
  <c r="AA36" i="9" s="1"/>
  <c r="AK8" i="1"/>
  <c r="AI15" i="9" s="1"/>
  <c r="AI8" i="9" s="1"/>
  <c r="AI16" i="9" s="1"/>
  <c r="AI36" i="9" s="1"/>
  <c r="AL8" i="1"/>
  <c r="AJ15" i="9" s="1"/>
  <c r="AJ8" i="9" s="1"/>
  <c r="AJ16" i="9" s="1"/>
  <c r="AJ36" i="9" s="1"/>
  <c r="AG9" i="1"/>
  <c r="AI8" i="1"/>
  <c r="AG15" i="9" s="1"/>
  <c r="AG8" i="9" s="1"/>
  <c r="AG16" i="9" s="1"/>
  <c r="AG36" i="9" s="1"/>
  <c r="AF8" i="1"/>
  <c r="AD15" i="9" s="1"/>
  <c r="AD8" i="9" s="1"/>
  <c r="AD16" i="9" s="1"/>
  <c r="AD36" i="9" s="1"/>
  <c r="AD8" i="1"/>
  <c r="AB15" i="9" s="1"/>
  <c r="AB8" i="9" s="1"/>
  <c r="AB16" i="9" s="1"/>
  <c r="AB36" i="9" s="1"/>
  <c r="X9" i="1"/>
  <c r="AJ8" i="1"/>
  <c r="AH15" i="9" s="1"/>
  <c r="AH8" i="9" s="1"/>
  <c r="AH16" i="9" s="1"/>
  <c r="AH36" i="9" s="1"/>
  <c r="L9" i="1"/>
  <c r="C48" i="9" l="1"/>
  <c r="C56" i="9" s="1"/>
  <c r="N16" i="9"/>
  <c r="N36" i="9" s="1"/>
  <c r="N38" i="9" s="1"/>
  <c r="O37" i="9" s="1"/>
  <c r="O38" i="9" s="1"/>
  <c r="P37" i="9" s="1"/>
  <c r="P38" i="9" s="1"/>
  <c r="Q37" i="9" s="1"/>
  <c r="Q38" i="9" s="1"/>
  <c r="R37" i="9" s="1"/>
  <c r="R38" i="9" s="1"/>
  <c r="S37" i="9" s="1"/>
  <c r="S38" i="9" s="1"/>
  <c r="T37" i="9" s="1"/>
  <c r="T38" i="9" s="1"/>
  <c r="U37" i="9" s="1"/>
  <c r="U38" i="9" s="1"/>
  <c r="V37" i="9" s="1"/>
  <c r="V38" i="9" s="1"/>
  <c r="W37" i="9" s="1"/>
  <c r="W38" i="9" s="1"/>
  <c r="X37" i="9" s="1"/>
  <c r="X38" i="9" s="1"/>
  <c r="Y37" i="9" s="1"/>
  <c r="Y38" i="9" s="1"/>
  <c r="Z37" i="9" s="1"/>
  <c r="Z38" i="9" s="1"/>
  <c r="AA37" i="9" s="1"/>
  <c r="AA38" i="9" s="1"/>
  <c r="AB37" i="9" s="1"/>
  <c r="AB38" i="9" s="1"/>
  <c r="AC37" i="9" s="1"/>
  <c r="AC38" i="9" s="1"/>
  <c r="AD37" i="9" s="1"/>
  <c r="AD38" i="9" s="1"/>
  <c r="AE37" i="9" s="1"/>
  <c r="AE38" i="9" s="1"/>
  <c r="AF37" i="9" s="1"/>
  <c r="AF38" i="9" s="1"/>
  <c r="AG37" i="9" s="1"/>
  <c r="AG38" i="9" s="1"/>
  <c r="AH37" i="9" s="1"/>
  <c r="AH38" i="9" s="1"/>
  <c r="AI37" i="9" s="1"/>
  <c r="AI38" i="9" s="1"/>
  <c r="AJ37" i="9" s="1"/>
  <c r="AJ38" i="9" s="1"/>
  <c r="AK37" i="9" s="1"/>
  <c r="AK38" i="9" s="1"/>
  <c r="Z16" i="9"/>
  <c r="Z36" i="9" s="1"/>
  <c r="D48" i="9"/>
  <c r="D56" i="9" s="1"/>
  <c r="D55" i="9"/>
  <c r="AB9" i="1"/>
  <c r="AN8" i="1"/>
  <c r="D5" i="6" s="1"/>
  <c r="D6" i="6" s="1"/>
  <c r="B27" i="6" s="1"/>
  <c r="W9" i="1"/>
  <c r="R9" i="1"/>
  <c r="Z9" i="1"/>
  <c r="H9" i="1"/>
  <c r="V9" i="1"/>
  <c r="AI9" i="1"/>
  <c r="S9" i="1"/>
  <c r="K9" i="1"/>
  <c r="Q9" i="1"/>
  <c r="Y9" i="1"/>
  <c r="E9" i="1"/>
  <c r="T9" i="1"/>
  <c r="AK9" i="1"/>
  <c r="N8" i="1"/>
  <c r="B5" i="6" s="1"/>
  <c r="B6" i="6" s="1"/>
  <c r="I9" i="1"/>
  <c r="P9" i="1"/>
  <c r="AF9" i="1"/>
  <c r="F9" i="1"/>
  <c r="AE9" i="1"/>
  <c r="AJ9" i="1"/>
  <c r="AD9" i="1"/>
  <c r="O9" i="1"/>
  <c r="AL9" i="1"/>
  <c r="AC9" i="1"/>
  <c r="D18" i="6" l="1"/>
  <c r="D76" i="9"/>
  <c r="C76" i="9"/>
  <c r="C78" i="9" s="1"/>
  <c r="D77" i="9" s="1"/>
  <c r="C18" i="6"/>
  <c r="C20" i="6" s="1"/>
  <c r="C21" i="6" s="1"/>
  <c r="AA9" i="1"/>
  <c r="AN9" i="1"/>
  <c r="N9" i="1"/>
  <c r="D78" i="9" l="1"/>
  <c r="D20" i="6"/>
  <c r="B25" i="6"/>
  <c r="B26" i="6"/>
  <c r="D21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Мельникова Полина</author>
  </authors>
  <commentList>
    <comment ref="A5" authorId="0" shapeId="0" xr:uid="{C12F6A5A-59DC-4C6B-95DB-9708E042D449}">
      <text>
        <r>
          <rPr>
            <b/>
            <sz val="9"/>
            <color indexed="81"/>
            <rFont val="Tahoma"/>
            <family val="2"/>
            <charset val="204"/>
          </rPr>
          <t>Мельникова Полина:</t>
        </r>
        <r>
          <rPr>
            <sz val="9"/>
            <color indexed="81"/>
            <rFont val="Tahoma"/>
            <family val="2"/>
            <charset val="204"/>
          </rPr>
          <t xml:space="preserve">
После 1-го года проекта привлекается аутсорсинговая компания, так как это позволит сократить расходы на бухгалтера и дополнительно привлечь финансиста</t>
        </r>
      </text>
    </comment>
    <comment ref="A8" authorId="0" shapeId="0" xr:uid="{8C328A3B-B57A-4BBD-85F8-3A42EBD7D165}">
      <text>
        <r>
          <rPr>
            <b/>
            <sz val="9"/>
            <color indexed="81"/>
            <rFont val="Tahoma"/>
            <family val="2"/>
            <charset val="204"/>
          </rPr>
          <t>Мельникова Полина:</t>
        </r>
        <r>
          <rPr>
            <sz val="9"/>
            <color indexed="81"/>
            <rFont val="Tahoma"/>
            <family val="2"/>
            <charset val="204"/>
          </rPr>
          <t xml:space="preserve">
После окончания разработки, планируется оставить специалистов как Back-end разработчиков
</t>
        </r>
      </text>
    </comment>
    <comment ref="A10" authorId="0" shapeId="0" xr:uid="{2052DF89-F6BE-4507-B38F-B6B9147F8ACC}">
      <text>
        <r>
          <rPr>
            <b/>
            <sz val="9"/>
            <color indexed="81"/>
            <rFont val="Tahoma"/>
            <family val="2"/>
            <charset val="204"/>
          </rPr>
          <t>Мельникова Полина:</t>
        </r>
        <r>
          <rPr>
            <sz val="9"/>
            <color indexed="81"/>
            <rFont val="Tahoma"/>
            <family val="2"/>
            <charset val="204"/>
          </rPr>
          <t xml:space="preserve">
Руководитель выступает в роли одного из лингвистов до января 2025, потом его роль переходит в роль директора с повышением ЗП</t>
        </r>
      </text>
    </comment>
    <comment ref="A12" authorId="0" shapeId="0" xr:uid="{2F12B4F2-7CA5-42F4-A214-7C28E60B0764}">
      <text>
        <r>
          <rPr>
            <b/>
            <sz val="9"/>
            <color indexed="81"/>
            <rFont val="Tahoma"/>
            <family val="2"/>
            <charset val="204"/>
          </rPr>
          <t>Мельникова Полина:</t>
        </r>
        <r>
          <rPr>
            <sz val="9"/>
            <color indexed="81"/>
            <rFont val="Tahoma"/>
            <family val="2"/>
            <charset val="204"/>
          </rPr>
          <t xml:space="preserve">
Привлечение внештатного сотрудника (носителя китайского языка) по договору ГПХ</t>
        </r>
      </text>
    </comment>
    <comment ref="A13" authorId="0" shapeId="0" xr:uid="{E398F281-BC79-4F1B-B474-4D5CE40D4A6A}">
      <text>
        <r>
          <rPr>
            <b/>
            <sz val="9"/>
            <color indexed="81"/>
            <rFont val="Tahoma"/>
            <family val="2"/>
            <charset val="204"/>
          </rPr>
          <t>Мельникова Полина:</t>
        </r>
        <r>
          <rPr>
            <sz val="9"/>
            <color indexed="81"/>
            <rFont val="Tahoma"/>
            <family val="2"/>
            <charset val="204"/>
          </rPr>
          <t xml:space="preserve">
Привлечение данных специалистов планируется после завершения этапа НИОКР на выручку компании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Мельникова Полина</author>
  </authors>
  <commentList>
    <comment ref="N10" authorId="0" shapeId="0" xr:uid="{822BF7F3-4D26-4978-8F9D-9812823C66D2}">
      <text>
        <r>
          <rPr>
            <b/>
            <sz val="9"/>
            <color indexed="81"/>
            <rFont val="Tahoma"/>
            <family val="2"/>
            <charset val="204"/>
          </rPr>
          <t>Мельникова Полина:</t>
        </r>
        <r>
          <rPr>
            <sz val="9"/>
            <color indexed="81"/>
            <rFont val="Tahoma"/>
            <family val="2"/>
            <charset val="204"/>
          </rPr>
          <t xml:space="preserve">
Расходы без учета оборудования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Мельникова Полина</author>
  </authors>
  <commentList>
    <comment ref="Q2" authorId="0" shapeId="0" xr:uid="{C089DCCD-0E7F-48A2-B7FA-4399E9E14758}">
      <text>
        <r>
          <rPr>
            <b/>
            <sz val="9"/>
            <color indexed="81"/>
            <rFont val="Tahoma"/>
            <family val="2"/>
            <charset val="204"/>
          </rPr>
          <t>Мельникова Полина:</t>
        </r>
        <r>
          <rPr>
            <sz val="9"/>
            <color indexed="81"/>
            <rFont val="Tahoma"/>
            <family val="2"/>
            <charset val="204"/>
          </rPr>
          <t xml:space="preserve">
С марта 2023 года начинается активная маркетинговая компания, поэтому наблюдается прирост подписок </t>
        </r>
      </text>
    </comment>
    <comment ref="A4" authorId="0" shapeId="0" xr:uid="{AECC9D79-C6C4-452E-998D-F5CFC061BD59}">
      <text>
        <r>
          <rPr>
            <b/>
            <sz val="9"/>
            <color indexed="81"/>
            <rFont val="Tahoma"/>
            <family val="2"/>
            <charset val="204"/>
          </rPr>
          <t>Мельникова Полина:</t>
        </r>
        <r>
          <rPr>
            <sz val="9"/>
            <color indexed="81"/>
            <rFont val="Tahoma"/>
            <family val="2"/>
            <charset val="204"/>
          </rPr>
          <t xml:space="preserve">
Подписка доступна с января 2025 года. Основные потребители частные лица</t>
        </r>
      </text>
    </comment>
    <comment ref="A8" authorId="0" shapeId="0" xr:uid="{DD3D673C-23CF-4849-8846-50967C6055F3}">
      <text>
        <r>
          <rPr>
            <b/>
            <sz val="9"/>
            <color indexed="81"/>
            <rFont val="Tahoma"/>
            <family val="2"/>
            <charset val="204"/>
          </rPr>
          <t>Мельникова Полина:</t>
        </r>
        <r>
          <rPr>
            <sz val="9"/>
            <color indexed="81"/>
            <rFont val="Tahoma"/>
            <family val="2"/>
            <charset val="204"/>
          </rPr>
          <t xml:space="preserve">
Подписка доступна с марта 2025 года. Основные потребители корпорации и государство</t>
        </r>
      </text>
    </comment>
    <comment ref="A12" authorId="0" shapeId="0" xr:uid="{40019EFF-F351-4C2D-9695-37F6BFD266B5}">
      <text>
        <r>
          <rPr>
            <b/>
            <sz val="9"/>
            <color indexed="81"/>
            <rFont val="Tahoma"/>
            <family val="2"/>
            <charset val="204"/>
          </rPr>
          <t>Мельникова Полина:</t>
        </r>
        <r>
          <rPr>
            <sz val="9"/>
            <color indexed="81"/>
            <rFont val="Tahoma"/>
            <family val="2"/>
            <charset val="204"/>
          </rPr>
          <t xml:space="preserve">
Подписка доступна с марта 2025 года</t>
        </r>
      </text>
    </comment>
  </commentList>
</comments>
</file>

<file path=xl/sharedStrings.xml><?xml version="1.0" encoding="utf-8"?>
<sst xmlns="http://schemas.openxmlformats.org/spreadsheetml/2006/main" count="880" uniqueCount="165">
  <si>
    <t>Совокупные расходы</t>
  </si>
  <si>
    <t xml:space="preserve">Совокупный доход </t>
  </si>
  <si>
    <t xml:space="preserve">Налог УСН </t>
  </si>
  <si>
    <t>Чистая прибыль/убыток</t>
  </si>
  <si>
    <t>За 1 год</t>
  </si>
  <si>
    <t>За 2 года</t>
  </si>
  <si>
    <t>За 3 года</t>
  </si>
  <si>
    <t>Источники финансирования</t>
  </si>
  <si>
    <t>Средства гранта</t>
  </si>
  <si>
    <t>Собственные средства</t>
  </si>
  <si>
    <t>PI</t>
  </si>
  <si>
    <t>Сумма</t>
  </si>
  <si>
    <t>Прогноз по персоналу (в людях)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</si>
  <si>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</si>
  <si>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</si>
  <si>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</si>
  <si>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</si>
  <si>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</si>
  <si>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</si>
  <si>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</si>
  <si>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</si>
  <si>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</si>
  <si>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</si>
  <si>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</si>
  <si>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</si>
  <si>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 1 (2024)</t>
  </si>
  <si>
    <t>Год 2 (2025)</t>
  </si>
  <si>
    <t>Год 3 (2026)</t>
  </si>
  <si>
    <t>Административные</t>
  </si>
  <si>
    <t>Производство</t>
  </si>
  <si>
    <t>Всего персонала</t>
  </si>
  <si>
    <t>Расходы на персонал (Фонд оплаты труда)</t>
  </si>
  <si>
    <t>Итого за 2 год</t>
  </si>
  <si>
    <t>Итого за 3 год</t>
  </si>
  <si>
    <t>Справочно</t>
  </si>
  <si>
    <t>Оклад в месяц</t>
  </si>
  <si>
    <t>Оклад  с уральским коэф. (15%)</t>
  </si>
  <si>
    <t>НДФЛ</t>
  </si>
  <si>
    <t>Сумма выплат "на руки"</t>
  </si>
  <si>
    <t>Всего затраты на персонал</t>
  </si>
  <si>
    <t>Налог на доходы физ лиц (НДФЛ)</t>
  </si>
  <si>
    <t>Сумма выплата "на руки"</t>
  </si>
  <si>
    <t>Налоги с оплаты персоналу (социальные взносы) - 30%, в том числе</t>
  </si>
  <si>
    <t>пенсионные взносы (22%)</t>
  </si>
  <si>
    <t>социальные взносы (2,9%)</t>
  </si>
  <si>
    <t>медицинские взносы (5,1%)</t>
  </si>
  <si>
    <t>Итого взносы</t>
  </si>
  <si>
    <t>Итого за Год 1</t>
  </si>
  <si>
    <t>Прогноз расходов</t>
  </si>
  <si>
    <t>Год 1</t>
  </si>
  <si>
    <t>Год 2</t>
  </si>
  <si>
    <t>Итого за 2024 год</t>
  </si>
  <si>
    <t>Год 3</t>
  </si>
  <si>
    <t>Итого за 2025 год</t>
  </si>
  <si>
    <t>1 месяц</t>
  </si>
  <si>
    <t>2 месяц</t>
  </si>
  <si>
    <t>3 месяц</t>
  </si>
  <si>
    <t>4 месяц</t>
  </si>
  <si>
    <t>5 месяц</t>
  </si>
  <si>
    <t>6 месяц</t>
  </si>
  <si>
    <t>7 месяц</t>
  </si>
  <si>
    <t>8 месяц</t>
  </si>
  <si>
    <t>9 месяц</t>
  </si>
  <si>
    <t>10 месяц</t>
  </si>
  <si>
    <t>11 месяц</t>
  </si>
  <si>
    <t>12 месяц</t>
  </si>
  <si>
    <t>Итого за 2026 год</t>
  </si>
  <si>
    <t>Постоянные расходы</t>
  </si>
  <si>
    <t>Заработная плата + отчисления</t>
  </si>
  <si>
    <t xml:space="preserve">Итого  расходы </t>
  </si>
  <si>
    <t>План продаж (прогноз доходов)</t>
  </si>
  <si>
    <t>Продажи, в ед.</t>
  </si>
  <si>
    <t>Доход от продукта 1</t>
  </si>
  <si>
    <t>Доход от продукта 2</t>
  </si>
  <si>
    <t>Итого доходы</t>
  </si>
  <si>
    <t xml:space="preserve">БДР </t>
  </si>
  <si>
    <t>Доходы</t>
  </si>
  <si>
    <t>Расходы</t>
  </si>
  <si>
    <t>-Налог УСН (15% c Доходы - Расходы)</t>
  </si>
  <si>
    <t>Чистая прибыль (убыток)</t>
  </si>
  <si>
    <t>Кол-во</t>
  </si>
  <si>
    <t>Стоимость за ед.тыс. руб.</t>
  </si>
  <si>
    <t>Итого, тыс. руб.</t>
  </si>
  <si>
    <t>Ноутбук MSI, 12-ядерный</t>
  </si>
  <si>
    <t>Проектор Cactus</t>
  </si>
  <si>
    <t xml:space="preserve">Затраты на оборудование </t>
  </si>
  <si>
    <t xml:space="preserve">Итого затрат на оборудование </t>
  </si>
  <si>
    <t>Удаленный виртуальный сервер</t>
  </si>
  <si>
    <t>Хостинг+доменное имя</t>
  </si>
  <si>
    <t>№</t>
  </si>
  <si>
    <t>Наименование</t>
  </si>
  <si>
    <t>Цена</t>
  </si>
  <si>
    <t>Реклама в специализированных изданиях</t>
  </si>
  <si>
    <t>Выставки</t>
  </si>
  <si>
    <t>Командировочные расходы</t>
  </si>
  <si>
    <t>Программист</t>
  </si>
  <si>
    <t xml:space="preserve">Программист </t>
  </si>
  <si>
    <t xml:space="preserve">Лингвист </t>
  </si>
  <si>
    <t>Бухгалтерские услуги на аутсорсинге</t>
  </si>
  <si>
    <t>Доход от продукта 3</t>
  </si>
  <si>
    <t>-</t>
  </si>
  <si>
    <t>Лингвист в штате</t>
  </si>
  <si>
    <t xml:space="preserve">По договору подряда </t>
  </si>
  <si>
    <t xml:space="preserve">Сумма договора </t>
  </si>
  <si>
    <t xml:space="preserve">Финансист </t>
  </si>
  <si>
    <t xml:space="preserve">Итого маркетинговые расходы </t>
  </si>
  <si>
    <t>SEO-специалист</t>
  </si>
  <si>
    <t>GR-специалист</t>
  </si>
  <si>
    <t>Менеджер по продажам</t>
  </si>
  <si>
    <t>Коммерческие</t>
  </si>
  <si>
    <t>Итого затраты на персонал с налогами = "на руки" + НДФЛ + соц взносы</t>
  </si>
  <si>
    <t>Финансист</t>
  </si>
  <si>
    <t>GR-менеджер</t>
  </si>
  <si>
    <t>Маркетинг и реклама</t>
  </si>
  <si>
    <t>Лингвист - носитель китайского языка</t>
  </si>
  <si>
    <t>Бухгалтер</t>
  </si>
  <si>
    <t>взносы на травматизм (0,2%)</t>
  </si>
  <si>
    <t xml:space="preserve">Бухгалтер </t>
  </si>
  <si>
    <t>Доходы за 3 года</t>
  </si>
  <si>
    <t xml:space="preserve">% рынка к 2026 году </t>
  </si>
  <si>
    <t xml:space="preserve">Цель: 10% рынка к 2028 году </t>
  </si>
  <si>
    <t>- Оборудование</t>
  </si>
  <si>
    <t>Прибыль до налогообложения</t>
  </si>
  <si>
    <t>Командировочные расходы, связанные с НИОКР</t>
  </si>
  <si>
    <t>Продукт 3: Аналитический отчет по цепочке поставок (За 1 ед., руб.)</t>
  </si>
  <si>
    <t>Продукт 1: подписка Pro - доступ к лингвистическим материалам (За 1 ед., руб. в год)</t>
  </si>
  <si>
    <t>Продукт 2: подписка Super Premium- полный доступ к функционалу (За 1 ед., руб. в год)</t>
  </si>
  <si>
    <t>Продукт 4: Размещение рекламы на сайте (За 1 ед., руб. в месяц)</t>
  </si>
  <si>
    <t>Директор</t>
  </si>
  <si>
    <t>Научный руководитель</t>
  </si>
  <si>
    <t>Доход от продукта 4</t>
  </si>
  <si>
    <t>Маркетинг и реклама (в 1-й год учитываются только коммандировки, связанные с НИОКР)</t>
  </si>
  <si>
    <t>Рентабельность за 3 года реализации, %</t>
  </si>
  <si>
    <t>Предполагаемая ставка дисконтирования (Купонный доход по облигациям со сроком погашения 3 года+премия за риск)</t>
  </si>
  <si>
    <t>Инфляция (среднегодовая инфляция за 10 лет, использовалась для индексации)</t>
  </si>
  <si>
    <t xml:space="preserve">Зарплата участников прописана по минимальной границе, так как привлекаются только члены команды. </t>
  </si>
  <si>
    <t>Денежные потоки от
текущих операций</t>
  </si>
  <si>
    <t>Поступления - всего</t>
  </si>
  <si>
    <t>в том числе:</t>
  </si>
  <si>
    <t>от продажи продукции, товаров, работ и услуг</t>
  </si>
  <si>
    <t>Платежи - всего</t>
  </si>
  <si>
    <t>Налоги</t>
  </si>
  <si>
    <t>Сальдо денежных потоков от текущих операций</t>
  </si>
  <si>
    <t>Денежные потоки от
инвестиционных операций</t>
  </si>
  <si>
    <t>Оборудование</t>
  </si>
  <si>
    <t>Сальдо денежных потоков от инвестиционных операций</t>
  </si>
  <si>
    <t>Денежные потоки от
финансовых операций</t>
  </si>
  <si>
    <t>прочие поступления (средства гранта)</t>
  </si>
  <si>
    <t>прочие платежи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</si>
  <si>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</si>
  <si>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</si>
  <si>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</si>
  <si>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</si>
  <si>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Период</t>
  </si>
  <si>
    <t>Денежный поток FCFF</t>
  </si>
  <si>
    <t>Коэффициент дисконтирования</t>
  </si>
  <si>
    <t>Дисконтированный денежный поток</t>
  </si>
  <si>
    <t>Дисконтированный ден. поток накопительным итогом</t>
  </si>
  <si>
    <t>NPV</t>
  </si>
  <si>
    <t>IRR</t>
  </si>
  <si>
    <t>Критерии эффективности проекта</t>
  </si>
  <si>
    <t>Рубля возвращается с одного рубля инвестиций</t>
  </si>
  <si>
    <t>Доход от вложения инвестиций в проект</t>
  </si>
  <si>
    <t xml:space="preserve">Примечание </t>
  </si>
  <si>
    <t>ОДДС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</si>
</sst>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₽_-;\-* #,##0.00\ _₽_-;_-* &quot;-&quot;??\ _₽_-;_-@_-"/>
    <numFmt numFmtId="171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9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0" xfId="0" applyFont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6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7" fontId="6" fillId="0" borderId="1" xfId="0" applyNumberFormat="1" applyFont="1" applyBorder="1" applyAlignment="1">
      <alignment horizontal="center" wrapText="1"/>
    </xf>
    <xf numFmtId="0" fontId="8" fillId="3" borderId="1" xfId="0" applyFont="1" applyFill="1" applyBorder="1"/>
    <xf numFmtId="43" fontId="0" fillId="0" borderId="0" xfId="1" applyFont="1"/>
    <xf numFmtId="164" fontId="0" fillId="0" borderId="0" xfId="0" applyNumberFormat="1"/>
    <xf numFmtId="0" fontId="5" fillId="0" borderId="1" xfId="0" applyFont="1" applyBorder="1"/>
    <xf numFmtId="0" fontId="8" fillId="0" borderId="1" xfId="0" applyFont="1" applyBorder="1" applyAlignment="1">
      <alignment horizontal="center"/>
    </xf>
    <xf numFmtId="0" fontId="4" fillId="0" borderId="1" xfId="0" applyFont="1" applyBorder="1"/>
    <xf numFmtId="17" fontId="6" fillId="0" borderId="3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3" fontId="0" fillId="0" borderId="1" xfId="0" applyNumberFormat="1" applyBorder="1" applyAlignment="1">
      <alignment horizontal="center" vertical="top" wrapText="1"/>
    </xf>
    <xf numFmtId="43" fontId="0" fillId="0" borderId="1" xfId="1" applyFont="1" applyBorder="1"/>
    <xf numFmtId="43" fontId="8" fillId="0" borderId="1" xfId="1" applyFont="1" applyBorder="1"/>
    <xf numFmtId="10" fontId="0" fillId="0" borderId="0" xfId="0" applyNumberFormat="1"/>
    <xf numFmtId="0" fontId="3" fillId="0" borderId="1" xfId="0" applyFont="1" applyBorder="1"/>
    <xf numFmtId="0" fontId="6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2" fontId="8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8" fillId="0" borderId="1" xfId="0" applyFont="1" applyBorder="1" applyAlignment="1">
      <alignment vertical="top"/>
    </xf>
    <xf numFmtId="43" fontId="0" fillId="0" borderId="1" xfId="1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43" fontId="8" fillId="0" borderId="0" xfId="1" applyFont="1" applyAlignment="1">
      <alignment horizontal="right" indent="3"/>
    </xf>
    <xf numFmtId="0" fontId="0" fillId="0" borderId="1" xfId="0" applyBorder="1" applyAlignment="1">
      <alignment vertical="top" wrapText="1"/>
    </xf>
    <xf numFmtId="43" fontId="6" fillId="0" borderId="1" xfId="1" applyFont="1" applyBorder="1" applyAlignment="1">
      <alignment horizontal="center" wrapText="1"/>
    </xf>
    <xf numFmtId="43" fontId="6" fillId="2" borderId="1" xfId="1" applyFont="1" applyFill="1" applyBorder="1" applyAlignment="1">
      <alignment horizontal="center" wrapText="1"/>
    </xf>
    <xf numFmtId="43" fontId="6" fillId="0" borderId="1" xfId="1" applyFont="1" applyFill="1" applyBorder="1" applyAlignment="1">
      <alignment horizontal="center" wrapText="1"/>
    </xf>
    <xf numFmtId="43" fontId="0" fillId="0" borderId="1" xfId="1" applyFont="1" applyBorder="1" applyAlignment="1">
      <alignment wrapText="1"/>
    </xf>
    <xf numFmtId="43" fontId="0" fillId="0" borderId="1" xfId="1" applyFont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3" fontId="8" fillId="0" borderId="0" xfId="1" applyFont="1" applyFill="1"/>
    <xf numFmtId="43" fontId="0" fillId="0" borderId="1" xfId="1" applyFont="1" applyFill="1" applyBorder="1" applyAlignment="1">
      <alignment horizontal="right"/>
    </xf>
    <xf numFmtId="43" fontId="0" fillId="0" borderId="1" xfId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2" fillId="3" borderId="1" xfId="0" applyFont="1" applyFill="1" applyBorder="1" applyAlignment="1">
      <alignment wrapText="1"/>
    </xf>
    <xf numFmtId="43" fontId="0" fillId="0" borderId="1" xfId="0" applyNumberFormat="1" applyBorder="1"/>
    <xf numFmtId="0" fontId="8" fillId="0" borderId="1" xfId="0" applyFont="1" applyBorder="1" applyAlignment="1">
      <alignment vertical="center"/>
    </xf>
    <xf numFmtId="43" fontId="2" fillId="0" borderId="1" xfId="1" applyFont="1" applyBorder="1" applyAlignment="1">
      <alignment horizontal="right" vertical="center"/>
    </xf>
    <xf numFmtId="43" fontId="2" fillId="0" borderId="1" xfId="1" applyFont="1" applyFill="1" applyBorder="1" applyAlignment="1">
      <alignment horizontal="right" vertical="center" wrapText="1"/>
    </xf>
    <xf numFmtId="43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indent="6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vertical="top" wrapText="1"/>
    </xf>
    <xf numFmtId="0" fontId="8" fillId="0" borderId="0" xfId="0" applyFont="1" applyAlignment="1">
      <alignment horizontal="left" wrapText="1"/>
    </xf>
    <xf numFmtId="2" fontId="8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43" fontId="8" fillId="0" borderId="3" xfId="1" applyFont="1" applyBorder="1" applyAlignment="1">
      <alignment horizontal="center" vertical="center"/>
    </xf>
    <xf numFmtId="43" fontId="8" fillId="0" borderId="6" xfId="1" applyFont="1" applyBorder="1" applyAlignment="1">
      <alignment horizontal="center" vertical="center"/>
    </xf>
    <xf numFmtId="43" fontId="8" fillId="0" borderId="7" xfId="1" applyFont="1" applyBorder="1" applyAlignment="1">
      <alignment horizontal="center" vertical="center"/>
    </xf>
    <xf numFmtId="43" fontId="8" fillId="0" borderId="1" xfId="1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7" fontId="1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0" xfId="0" applyFill="1"/>
    <xf numFmtId="0" fontId="12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43" fontId="0" fillId="0" borderId="0" xfId="1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9" fontId="0" fillId="0" borderId="1" xfId="0" applyNumberFormat="1" applyFill="1" applyBorder="1"/>
    <xf numFmtId="2" fontId="2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71" fontId="0" fillId="0" borderId="1" xfId="0" applyNumberFormat="1" applyFill="1" applyBorder="1"/>
    <xf numFmtId="1" fontId="0" fillId="0" borderId="1" xfId="0" applyNumberFormat="1" applyFill="1" applyBorder="1"/>
    <xf numFmtId="0" fontId="13" fillId="0" borderId="1" xfId="0" applyFont="1" applyFill="1" applyBorder="1" applyAlignment="1">
      <alignment horizontal="left" wrapText="1"/>
    </xf>
    <xf numFmtId="43" fontId="0" fillId="0" borderId="6" xfId="1" applyFont="1" applyFill="1" applyBorder="1" applyAlignment="1">
      <alignment horizontal="right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microsoft.com/office/2017/10/relationships/person" Target="persons/person1.xml"/><Relationship Id="rId2" Type="http://schemas.openxmlformats.org/officeDocument/2006/relationships/worksheet" Target="worksheets/sheet2.xml"/><Relationship Id="rId16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microsoft.com/office/2017/10/relationships/person" Target="persons/person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79082\Downloads\dlya_granta.xlsx" TargetMode="External"/><Relationship Id="rId1" Type="http://schemas.openxmlformats.org/officeDocument/2006/relationships/externalLinkPath" Target="file:///C:\Users\79082\Downloads\dlya_gran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Ключевые метрики"/>
      <sheetName val="Прогноз по персоналу в людях"/>
      <sheetName val="Расходы на персонал"/>
      <sheetName val="Прогноз расходов"/>
      <sheetName val="Амортизация"/>
      <sheetName val="Маркетинг и реклама"/>
      <sheetName val="План продаж"/>
      <sheetName val="Бюджет доходов и расходов (БДР)"/>
      <sheetName val="Движение денежных средств"/>
      <sheetName val="Лист3"/>
    </sheetNames>
    <sheetDataSet>
      <sheetData sheetId="0" refreshError="1"/>
      <sheetData sheetId="1" refreshError="1"/>
      <sheetData sheetId="2" refreshError="1"/>
      <sheetData sheetId="3">
        <row r="6">
          <cell r="L6" t="str">
            <v>-</v>
          </cell>
          <cell r="M6" t="str">
            <v>-</v>
          </cell>
          <cell r="AB6">
            <v>57373.471999999994</v>
          </cell>
          <cell r="AC6" t="str">
            <v>-</v>
          </cell>
          <cell r="AD6" t="str">
            <v>-</v>
          </cell>
          <cell r="AE6" t="str">
            <v>-</v>
          </cell>
          <cell r="AF6" t="str">
            <v>-</v>
          </cell>
          <cell r="AG6" t="str">
            <v>-</v>
          </cell>
          <cell r="AH6" t="str">
            <v>-</v>
          </cell>
          <cell r="AI6" t="str">
            <v>-</v>
          </cell>
          <cell r="AJ6" t="str">
            <v>-</v>
          </cell>
          <cell r="AK6" t="str">
            <v>-</v>
          </cell>
          <cell r="AL6" t="str">
            <v>-</v>
          </cell>
          <cell r="AM6" t="str">
            <v>-</v>
          </cell>
        </row>
        <row r="7">
          <cell r="L7" t="str">
            <v>-</v>
          </cell>
          <cell r="M7" t="str">
            <v>-</v>
          </cell>
          <cell r="AB7">
            <v>8032.2860799999989</v>
          </cell>
          <cell r="AC7" t="str">
            <v>-</v>
          </cell>
          <cell r="AD7" t="str">
            <v>-</v>
          </cell>
          <cell r="AE7" t="str">
            <v>-</v>
          </cell>
          <cell r="AF7" t="str">
            <v>-</v>
          </cell>
          <cell r="AG7" t="str">
            <v>-</v>
          </cell>
          <cell r="AH7" t="str">
            <v>-</v>
          </cell>
          <cell r="AI7" t="str">
            <v>-</v>
          </cell>
          <cell r="AJ7" t="str">
            <v>-</v>
          </cell>
          <cell r="AK7" t="str">
            <v>-</v>
          </cell>
          <cell r="AL7" t="str">
            <v>-</v>
          </cell>
          <cell r="AM7" t="str">
            <v>-</v>
          </cell>
        </row>
        <row r="9">
          <cell r="L9">
            <v>0</v>
          </cell>
          <cell r="M9">
            <v>0</v>
          </cell>
        </row>
        <row r="10">
          <cell r="L10">
            <v>0</v>
          </cell>
          <cell r="M10">
            <v>0</v>
          </cell>
        </row>
      </sheetData>
      <sheetData sheetId="4" refreshError="1"/>
      <sheetData sheetId="5" refreshError="1"/>
      <sheetData sheetId="6"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</sheetData>
      <sheetData sheetId="7">
        <row r="9">
          <cell r="AA9">
            <v>2641876.2808479997</v>
          </cell>
        </row>
      </sheetData>
      <sheetData sheetId="8" refreshError="1"/>
      <sheetData sheetId="9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B28AF-FB37-4027-BD3A-D01FC0D0E888}">
  <dimension ref="A2:F33"/>
  <sheetViews>
    <sheetView workbookViewId="0">
      <selection activeCell="E12" sqref="E12"/>
    </sheetView>
  </sheetViews>
  <sheetFormatPr defaultRowHeight="14.5" x14ac:dyDescent="0.35"/>
  <cols>
    <col min="1" max="1" width="21.81640625" bestFit="1" customWidth="1"/>
    <col min="2" max="2" width="13.54296875" bestFit="1" customWidth="1"/>
    <col min="3" max="3" width="31.6328125" customWidth="1"/>
    <col min="4" max="4" width="13.6328125" bestFit="1" customWidth="1"/>
    <col min="6" max="6" width="31" customWidth="1"/>
  </cols>
  <sheetData>
    <row r="2" spans="1:6" ht="43.5" x14ac:dyDescent="0.35">
      <c r="A2" s="1"/>
      <c r="B2" s="67" t="s">
        <v>4</v>
      </c>
      <c r="C2" s="67" t="s">
        <v>5</v>
      </c>
      <c r="D2" s="67" t="s">
        <v>6</v>
      </c>
      <c r="F2" s="36" t="s">
        <v>134</v>
      </c>
    </row>
    <row r="3" spans="1:6" x14ac:dyDescent="0.35">
      <c r="A3" s="1" t="s">
        <v>0</v>
      </c>
      <c r="B3" s="25">
        <f>'Прогноз расходов'!N10+'Прогноз расходов'!D16</f>
        <v>3000000</v>
      </c>
      <c r="C3" s="52">
        <f>'Прогноз расходов'!AA10+B3</f>
        <v>8216900.8919999991</v>
      </c>
      <c r="D3" s="52">
        <f>'Прогноз расходов'!AN10+B3+C3</f>
        <v>16214669.176787199</v>
      </c>
      <c r="F3" s="27">
        <v>7.1199999999999999E-2</v>
      </c>
    </row>
    <row r="4" spans="1:6" x14ac:dyDescent="0.35">
      <c r="A4" s="1" t="s">
        <v>1</v>
      </c>
      <c r="B4" s="52">
        <f>'План продаж'!N20</f>
        <v>0</v>
      </c>
      <c r="C4" s="52">
        <f>'План продаж'!AA20+B4</f>
        <v>12794000</v>
      </c>
      <c r="D4" s="52">
        <f>'План продаж'!AN20+B4+C4</f>
        <v>57366632</v>
      </c>
    </row>
    <row r="5" spans="1:6" x14ac:dyDescent="0.35">
      <c r="A5" s="1" t="s">
        <v>2</v>
      </c>
      <c r="B5" s="52">
        <f>'Бюджет доходов и расходов (БДР)'!N8</f>
        <v>0</v>
      </c>
      <c r="C5" s="52">
        <f>'Бюджет доходов и расходов (БДР)'!AA8+B5</f>
        <v>1136564.8662</v>
      </c>
      <c r="D5" s="52">
        <f>'Бюджет доходов и расходов (БДР)'!AN8+B5+C5</f>
        <v>7072794.4234819198</v>
      </c>
    </row>
    <row r="6" spans="1:6" x14ac:dyDescent="0.35">
      <c r="A6" s="1" t="s">
        <v>3</v>
      </c>
      <c r="B6" s="52">
        <f>B4-B3-B5</f>
        <v>-3000000</v>
      </c>
      <c r="C6" s="52">
        <f>C4-C3-C5</f>
        <v>3440534.2418000009</v>
      </c>
      <c r="D6" s="52">
        <f>D4-D3-D5</f>
        <v>34079168.399730884</v>
      </c>
    </row>
    <row r="7" spans="1:6" x14ac:dyDescent="0.35">
      <c r="B7" s="18"/>
      <c r="C7" s="18"/>
    </row>
    <row r="9" spans="1:6" ht="29" x14ac:dyDescent="0.35">
      <c r="A9" s="65" t="s">
        <v>132</v>
      </c>
      <c r="B9" s="66">
        <f>D6/D3*100</f>
        <v>210.17492264670051</v>
      </c>
    </row>
    <row r="11" spans="1:6" ht="58" x14ac:dyDescent="0.35">
      <c r="A11" s="2" t="s">
        <v>7</v>
      </c>
      <c r="B11" s="4" t="s">
        <v>11</v>
      </c>
      <c r="C11" s="5" t="s">
        <v>133</v>
      </c>
    </row>
    <row r="12" spans="1:6" x14ac:dyDescent="0.35">
      <c r="A12" s="3" t="s">
        <v>8</v>
      </c>
      <c r="B12" s="25">
        <v>3000000</v>
      </c>
      <c r="C12" s="68">
        <f>11.99%+30%</f>
        <v>0.4199</v>
      </c>
    </row>
    <row r="13" spans="1:6" x14ac:dyDescent="0.35">
      <c r="A13" s="3" t="s">
        <v>9</v>
      </c>
      <c r="B13" s="25">
        <v>0</v>
      </c>
      <c r="C13" s="69"/>
    </row>
    <row r="17" spans="1:5" x14ac:dyDescent="0.35">
      <c r="A17" s="114" t="s">
        <v>153</v>
      </c>
      <c r="B17" s="115">
        <v>0</v>
      </c>
      <c r="C17" s="115">
        <v>1</v>
      </c>
      <c r="D17" s="115">
        <v>2</v>
      </c>
    </row>
    <row r="18" spans="1:5" x14ac:dyDescent="0.35">
      <c r="A18" s="113" t="s">
        <v>154</v>
      </c>
      <c r="B18" s="35">
        <f>'Движение денежных средств'!B56+'Движение денежных средств'!B67</f>
        <v>-3000000.0000000005</v>
      </c>
      <c r="C18" s="35">
        <f>'Движение денежных средств'!C56+'Движение денежных средств'!C67</f>
        <v>6440534.2418</v>
      </c>
      <c r="D18" s="35">
        <f>'Движение денежных средств'!D56+'Движение денежных средств'!D67</f>
        <v>33638634.157930873</v>
      </c>
    </row>
    <row r="19" spans="1:5" ht="29" x14ac:dyDescent="0.35">
      <c r="A19" s="109" t="s">
        <v>155</v>
      </c>
      <c r="B19" s="117">
        <f>1/(1+$C$12)^B17</f>
        <v>1</v>
      </c>
      <c r="C19" s="116">
        <f t="shared" ref="C19:D19" si="0">1/(1+$C$12)^C17</f>
        <v>0.70427494894006626</v>
      </c>
      <c r="D19" s="116">
        <f t="shared" si="0"/>
        <v>0.49600320370453294</v>
      </c>
    </row>
    <row r="20" spans="1:5" ht="29" x14ac:dyDescent="0.35">
      <c r="A20" s="109" t="s">
        <v>156</v>
      </c>
      <c r="B20" s="35">
        <f>B18*B19</f>
        <v>-3000000.0000000005</v>
      </c>
      <c r="C20" s="35">
        <f>C18*C19</f>
        <v>4535906.9242904438</v>
      </c>
      <c r="D20" s="35">
        <f t="shared" ref="C20:D20" si="1">D18*D19</f>
        <v>16684870.310578447</v>
      </c>
    </row>
    <row r="21" spans="1:5" ht="43.5" x14ac:dyDescent="0.35">
      <c r="A21" s="109" t="s">
        <v>157</v>
      </c>
      <c r="B21" s="35">
        <f>B20</f>
        <v>-3000000.0000000005</v>
      </c>
      <c r="C21" s="35">
        <f>C20+B21</f>
        <v>1535906.9242904433</v>
      </c>
      <c r="D21" s="35">
        <f>D20+C21</f>
        <v>18220777.234868892</v>
      </c>
    </row>
    <row r="24" spans="1:5" ht="29" customHeight="1" x14ac:dyDescent="0.35">
      <c r="A24" s="108" t="s">
        <v>160</v>
      </c>
      <c r="B24" s="108"/>
      <c r="C24" s="101" t="s">
        <v>163</v>
      </c>
    </row>
    <row r="25" spans="1:5" ht="29" x14ac:dyDescent="0.35">
      <c r="A25" s="109" t="s">
        <v>158</v>
      </c>
      <c r="B25" s="35">
        <f>NPV(C12,C18:D18)+B18</f>
        <v>18220777.234868888</v>
      </c>
      <c r="C25" s="99" t="s">
        <v>162</v>
      </c>
    </row>
    <row r="26" spans="1:5" x14ac:dyDescent="0.35">
      <c r="A26" s="109" t="s">
        <v>159</v>
      </c>
      <c r="B26" s="110">
        <f>IRR(B18:D18)</f>
        <v>3.5898287274070562</v>
      </c>
      <c r="C26" s="99"/>
    </row>
    <row r="27" spans="1:5" ht="29" x14ac:dyDescent="0.35">
      <c r="A27" s="109" t="s">
        <v>10</v>
      </c>
      <c r="B27" s="111">
        <f>D6/(1+C12)^3/SUM(B12:B13)</f>
        <v>3.9682082554763949</v>
      </c>
      <c r="C27" s="112" t="s">
        <v>161</v>
      </c>
      <c r="D27" s="102"/>
      <c r="E27" s="102"/>
    </row>
    <row r="28" spans="1:5" x14ac:dyDescent="0.35">
      <c r="A28" s="102"/>
      <c r="B28" s="102"/>
      <c r="C28" s="102"/>
      <c r="D28" s="102"/>
      <c r="E28" s="102"/>
    </row>
    <row r="29" spans="1:5" x14ac:dyDescent="0.35">
      <c r="A29" s="103"/>
      <c r="B29" s="104"/>
      <c r="C29" s="104"/>
      <c r="D29" s="104"/>
      <c r="E29" s="102"/>
    </row>
    <row r="30" spans="1:5" x14ac:dyDescent="0.35">
      <c r="A30" s="105"/>
      <c r="B30" s="106"/>
      <c r="C30" s="106"/>
      <c r="D30" s="106"/>
      <c r="E30" s="102"/>
    </row>
    <row r="31" spans="1:5" x14ac:dyDescent="0.35">
      <c r="A31" s="105"/>
      <c r="B31" s="107"/>
      <c r="C31" s="107"/>
      <c r="D31" s="107"/>
      <c r="E31" s="102"/>
    </row>
    <row r="32" spans="1:5" x14ac:dyDescent="0.35">
      <c r="A32" s="105"/>
      <c r="B32" s="107"/>
      <c r="C32" s="107"/>
      <c r="D32" s="107"/>
      <c r="E32" s="102"/>
    </row>
    <row r="33" spans="1:5" x14ac:dyDescent="0.35">
      <c r="A33" s="105"/>
      <c r="B33" s="107"/>
      <c r="C33" s="107"/>
      <c r="D33" s="107"/>
      <c r="E33" s="102"/>
    </row>
  </sheetData>
  <mergeCells count="2">
    <mergeCell ref="C12:C13"/>
    <mergeCell ref="A24:B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F528A-A70F-415C-9B77-64DF72D4C3D3}">
  <dimension ref="A1:AK17"/>
  <sheetViews>
    <sheetView zoomScale="96" workbookViewId="0">
      <selection activeCell="O17" sqref="O17"/>
    </sheetView>
  </sheetViews>
  <sheetFormatPr defaultRowHeight="14.5" x14ac:dyDescent="0.35"/>
  <cols>
    <col min="1" max="1" width="35.453125" customWidth="1"/>
    <col min="14" max="37" width="10" bestFit="1" customWidth="1"/>
  </cols>
  <sheetData>
    <row r="1" spans="1:37" x14ac:dyDescent="0.35">
      <c r="A1" s="71" t="s">
        <v>12</v>
      </c>
      <c r="B1" s="70" t="s">
        <v>25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 t="s">
        <v>26</v>
      </c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 t="s">
        <v>27</v>
      </c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</row>
    <row r="2" spans="1:37" x14ac:dyDescent="0.35">
      <c r="A2" s="71"/>
      <c r="B2" s="7" t="s">
        <v>13</v>
      </c>
      <c r="C2" s="7" t="s">
        <v>14</v>
      </c>
      <c r="D2" s="7" t="s">
        <v>15</v>
      </c>
      <c r="E2" s="7" t="s">
        <v>16</v>
      </c>
      <c r="F2" s="7" t="s">
        <v>17</v>
      </c>
      <c r="G2" s="7" t="s">
        <v>18</v>
      </c>
      <c r="H2" s="7" t="s">
        <v>19</v>
      </c>
      <c r="I2" s="7" t="s">
        <v>20</v>
      </c>
      <c r="J2" s="7" t="s">
        <v>21</v>
      </c>
      <c r="K2" s="7" t="s">
        <v>22</v>
      </c>
      <c r="L2" s="7" t="s">
        <v>23</v>
      </c>
      <c r="M2" s="7" t="s">
        <v>24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7" t="s">
        <v>21</v>
      </c>
      <c r="W2" s="7" t="s">
        <v>22</v>
      </c>
      <c r="X2" s="7" t="s">
        <v>23</v>
      </c>
      <c r="Y2" s="7" t="s">
        <v>24</v>
      </c>
      <c r="Z2" s="7" t="s">
        <v>13</v>
      </c>
      <c r="AA2" s="7" t="s">
        <v>14</v>
      </c>
      <c r="AB2" s="7" t="s">
        <v>15</v>
      </c>
      <c r="AC2" s="7" t="s">
        <v>16</v>
      </c>
      <c r="AD2" s="7" t="s">
        <v>17</v>
      </c>
      <c r="AE2" s="7" t="s">
        <v>18</v>
      </c>
      <c r="AF2" s="7" t="s">
        <v>19</v>
      </c>
      <c r="AG2" s="7" t="s">
        <v>20</v>
      </c>
      <c r="AH2" s="7" t="s">
        <v>21</v>
      </c>
      <c r="AI2" s="7" t="s">
        <v>22</v>
      </c>
      <c r="AJ2" s="7" t="s">
        <v>23</v>
      </c>
      <c r="AK2" s="7" t="s">
        <v>24</v>
      </c>
    </row>
    <row r="3" spans="1:37" x14ac:dyDescent="0.35">
      <c r="A3" s="8" t="s">
        <v>28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x14ac:dyDescent="0.35">
      <c r="A4" s="33" t="s">
        <v>128</v>
      </c>
      <c r="B4" s="50">
        <v>0</v>
      </c>
      <c r="C4" s="50">
        <v>0</v>
      </c>
      <c r="D4" s="50">
        <v>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8">
        <v>1</v>
      </c>
      <c r="O4" s="58">
        <v>1</v>
      </c>
      <c r="P4" s="58">
        <v>1</v>
      </c>
      <c r="Q4" s="58">
        <v>1</v>
      </c>
      <c r="R4" s="58">
        <v>1</v>
      </c>
      <c r="S4" s="58">
        <v>1</v>
      </c>
      <c r="T4" s="58">
        <v>1</v>
      </c>
      <c r="U4" s="58">
        <v>1</v>
      </c>
      <c r="V4" s="58">
        <v>1</v>
      </c>
      <c r="W4" s="58">
        <v>1</v>
      </c>
      <c r="X4" s="58">
        <v>1</v>
      </c>
      <c r="Y4" s="58">
        <v>1</v>
      </c>
      <c r="Z4" s="58">
        <v>1</v>
      </c>
      <c r="AA4" s="58">
        <v>1</v>
      </c>
      <c r="AB4" s="58">
        <v>1</v>
      </c>
      <c r="AC4" s="58">
        <v>1</v>
      </c>
      <c r="AD4" s="58">
        <v>1</v>
      </c>
      <c r="AE4" s="58">
        <v>1</v>
      </c>
      <c r="AF4" s="58">
        <v>1</v>
      </c>
      <c r="AG4" s="58">
        <v>1</v>
      </c>
      <c r="AH4" s="58">
        <v>1</v>
      </c>
      <c r="AI4" s="58">
        <v>1</v>
      </c>
      <c r="AJ4" s="58">
        <v>1</v>
      </c>
      <c r="AK4" s="58">
        <v>1</v>
      </c>
    </row>
    <row r="5" spans="1:37" x14ac:dyDescent="0.35">
      <c r="A5" s="1" t="s">
        <v>111</v>
      </c>
      <c r="B5" s="50">
        <v>0</v>
      </c>
      <c r="C5" s="50">
        <v>0</v>
      </c>
      <c r="D5" s="50">
        <v>0</v>
      </c>
      <c r="E5" s="50">
        <v>0</v>
      </c>
      <c r="F5" s="50">
        <v>0</v>
      </c>
      <c r="G5" s="5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1</v>
      </c>
      <c r="O5" s="50">
        <v>1</v>
      </c>
      <c r="P5" s="50">
        <v>1</v>
      </c>
      <c r="Q5" s="50">
        <v>1</v>
      </c>
      <c r="R5" s="50">
        <v>1</v>
      </c>
      <c r="S5" s="50">
        <v>1</v>
      </c>
      <c r="T5" s="50">
        <v>1</v>
      </c>
      <c r="U5" s="50">
        <v>1</v>
      </c>
      <c r="V5" s="50">
        <v>1</v>
      </c>
      <c r="W5" s="50">
        <v>1</v>
      </c>
      <c r="X5" s="50">
        <v>1</v>
      </c>
      <c r="Y5" s="50">
        <v>1</v>
      </c>
      <c r="Z5" s="50">
        <v>1</v>
      </c>
      <c r="AA5" s="50">
        <v>1</v>
      </c>
      <c r="AB5" s="50">
        <v>1</v>
      </c>
      <c r="AC5" s="50">
        <v>1</v>
      </c>
      <c r="AD5" s="50">
        <v>1</v>
      </c>
      <c r="AE5" s="50">
        <v>1</v>
      </c>
      <c r="AF5" s="50">
        <v>1</v>
      </c>
      <c r="AG5" s="50">
        <v>1</v>
      </c>
      <c r="AH5" s="50">
        <v>1</v>
      </c>
      <c r="AI5" s="50">
        <v>1</v>
      </c>
      <c r="AJ5" s="50">
        <v>1</v>
      </c>
      <c r="AK5" s="50">
        <v>1</v>
      </c>
    </row>
    <row r="6" spans="1:37" x14ac:dyDescent="0.35">
      <c r="A6" s="1" t="s">
        <v>117</v>
      </c>
      <c r="B6" s="50">
        <v>1</v>
      </c>
      <c r="C6" s="50">
        <v>1</v>
      </c>
      <c r="D6" s="50">
        <v>1</v>
      </c>
      <c r="E6" s="50">
        <v>1</v>
      </c>
      <c r="F6" s="50">
        <v>1</v>
      </c>
      <c r="G6" s="50">
        <v>1</v>
      </c>
      <c r="H6" s="50">
        <v>1</v>
      </c>
      <c r="I6" s="50">
        <v>1</v>
      </c>
      <c r="J6" s="50">
        <v>1</v>
      </c>
      <c r="K6" s="50">
        <v>1</v>
      </c>
      <c r="L6" s="50">
        <v>1</v>
      </c>
      <c r="M6" s="50">
        <v>1</v>
      </c>
      <c r="N6" s="50">
        <v>0</v>
      </c>
      <c r="O6" s="50">
        <v>0</v>
      </c>
      <c r="P6" s="50">
        <v>0</v>
      </c>
      <c r="Q6" s="50">
        <v>0</v>
      </c>
      <c r="R6" s="50">
        <v>0</v>
      </c>
      <c r="S6" s="50">
        <v>0</v>
      </c>
      <c r="T6" s="50">
        <v>0</v>
      </c>
      <c r="U6" s="50">
        <v>0</v>
      </c>
      <c r="V6" s="50">
        <v>0</v>
      </c>
      <c r="W6" s="50">
        <v>0</v>
      </c>
      <c r="X6" s="50">
        <v>0</v>
      </c>
      <c r="Y6" s="50">
        <v>0</v>
      </c>
      <c r="Z6" s="50">
        <v>0</v>
      </c>
      <c r="AA6" s="50">
        <v>0</v>
      </c>
      <c r="AB6" s="50">
        <v>0</v>
      </c>
      <c r="AC6" s="50">
        <v>0</v>
      </c>
      <c r="AD6" s="50">
        <v>0</v>
      </c>
      <c r="AE6" s="50">
        <v>0</v>
      </c>
      <c r="AF6" s="50">
        <v>0</v>
      </c>
      <c r="AG6" s="50">
        <v>0</v>
      </c>
      <c r="AH6" s="50">
        <v>0</v>
      </c>
      <c r="AI6" s="50">
        <v>0</v>
      </c>
      <c r="AJ6" s="50">
        <v>0</v>
      </c>
      <c r="AK6" s="50">
        <v>0</v>
      </c>
    </row>
    <row r="7" spans="1:37" x14ac:dyDescent="0.35">
      <c r="A7" s="8" t="s">
        <v>29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</row>
    <row r="8" spans="1:37" x14ac:dyDescent="0.35">
      <c r="A8" s="19" t="s">
        <v>96</v>
      </c>
      <c r="B8" s="50">
        <v>2</v>
      </c>
      <c r="C8" s="50">
        <v>2</v>
      </c>
      <c r="D8" s="50">
        <v>2</v>
      </c>
      <c r="E8" s="50">
        <v>2</v>
      </c>
      <c r="F8" s="50">
        <v>2</v>
      </c>
      <c r="G8" s="50">
        <v>2</v>
      </c>
      <c r="H8" s="50">
        <v>2</v>
      </c>
      <c r="I8" s="50">
        <v>2</v>
      </c>
      <c r="J8" s="50">
        <v>2</v>
      </c>
      <c r="K8" s="50">
        <v>2</v>
      </c>
      <c r="L8" s="50">
        <v>2</v>
      </c>
      <c r="M8" s="50">
        <v>2</v>
      </c>
      <c r="N8" s="50">
        <v>1</v>
      </c>
      <c r="O8" s="50">
        <v>1</v>
      </c>
      <c r="P8" s="50">
        <v>1</v>
      </c>
      <c r="Q8" s="50">
        <v>1</v>
      </c>
      <c r="R8" s="50">
        <v>1</v>
      </c>
      <c r="S8" s="50">
        <v>1</v>
      </c>
      <c r="T8" s="50">
        <v>2</v>
      </c>
      <c r="U8" s="50">
        <v>2</v>
      </c>
      <c r="V8" s="50">
        <v>2</v>
      </c>
      <c r="W8" s="50">
        <v>2</v>
      </c>
      <c r="X8" s="50">
        <v>2</v>
      </c>
      <c r="Y8" s="50">
        <v>2</v>
      </c>
      <c r="Z8" s="50">
        <v>2</v>
      </c>
      <c r="AA8" s="50">
        <v>2</v>
      </c>
      <c r="AB8" s="50">
        <v>2</v>
      </c>
      <c r="AC8" s="50">
        <v>2</v>
      </c>
      <c r="AD8" s="50">
        <v>2</v>
      </c>
      <c r="AE8" s="50">
        <v>2</v>
      </c>
      <c r="AF8" s="50">
        <v>2</v>
      </c>
      <c r="AG8" s="50">
        <v>2</v>
      </c>
      <c r="AH8" s="50">
        <v>2</v>
      </c>
      <c r="AI8" s="50">
        <v>2</v>
      </c>
      <c r="AJ8" s="50">
        <v>2</v>
      </c>
      <c r="AK8" s="50">
        <v>2</v>
      </c>
    </row>
    <row r="9" spans="1:37" x14ac:dyDescent="0.35">
      <c r="A9" s="19" t="s">
        <v>97</v>
      </c>
      <c r="B9" s="50">
        <v>1</v>
      </c>
      <c r="C9" s="50">
        <v>1</v>
      </c>
      <c r="D9" s="50">
        <v>1</v>
      </c>
      <c r="E9" s="50">
        <v>1</v>
      </c>
      <c r="F9" s="50">
        <v>1</v>
      </c>
      <c r="G9" s="50">
        <v>0</v>
      </c>
      <c r="H9" s="50">
        <v>0</v>
      </c>
      <c r="I9" s="50">
        <v>0</v>
      </c>
      <c r="J9" s="50">
        <v>1</v>
      </c>
      <c r="K9" s="50">
        <v>0</v>
      </c>
      <c r="L9" s="50">
        <v>0</v>
      </c>
      <c r="M9" s="50">
        <v>0</v>
      </c>
      <c r="N9" s="50" t="s">
        <v>100</v>
      </c>
      <c r="O9" s="50" t="s">
        <v>100</v>
      </c>
      <c r="P9" s="50" t="s">
        <v>100</v>
      </c>
      <c r="Q9" s="50" t="s">
        <v>100</v>
      </c>
      <c r="R9" s="50" t="s">
        <v>100</v>
      </c>
      <c r="S9" s="50" t="s">
        <v>100</v>
      </c>
      <c r="T9" s="50" t="s">
        <v>100</v>
      </c>
      <c r="U9" s="50" t="s">
        <v>100</v>
      </c>
      <c r="V9" s="50" t="s">
        <v>100</v>
      </c>
      <c r="W9" s="50" t="s">
        <v>100</v>
      </c>
      <c r="X9" s="50" t="s">
        <v>100</v>
      </c>
      <c r="Y9" s="50" t="s">
        <v>100</v>
      </c>
      <c r="Z9" s="50" t="s">
        <v>100</v>
      </c>
      <c r="AA9" s="50" t="s">
        <v>100</v>
      </c>
      <c r="AB9" s="50" t="s">
        <v>100</v>
      </c>
      <c r="AC9" s="50" t="s">
        <v>100</v>
      </c>
      <c r="AD9" s="50" t="s">
        <v>100</v>
      </c>
      <c r="AE9" s="50" t="s">
        <v>100</v>
      </c>
      <c r="AF9" s="50" t="s">
        <v>100</v>
      </c>
      <c r="AG9" s="50" t="s">
        <v>100</v>
      </c>
      <c r="AH9" s="50" t="s">
        <v>100</v>
      </c>
      <c r="AI9" s="50" t="s">
        <v>100</v>
      </c>
      <c r="AJ9" s="50" t="s">
        <v>100</v>
      </c>
      <c r="AK9" s="50" t="s">
        <v>100</v>
      </c>
    </row>
    <row r="10" spans="1:37" x14ac:dyDescent="0.35">
      <c r="A10" s="33" t="s">
        <v>129</v>
      </c>
      <c r="B10" s="50">
        <v>1</v>
      </c>
      <c r="C10" s="50">
        <v>1</v>
      </c>
      <c r="D10" s="50">
        <v>1</v>
      </c>
      <c r="E10" s="50">
        <v>1</v>
      </c>
      <c r="F10" s="50">
        <v>1</v>
      </c>
      <c r="G10" s="50">
        <v>1</v>
      </c>
      <c r="H10" s="50">
        <v>1</v>
      </c>
      <c r="I10" s="50">
        <v>1</v>
      </c>
      <c r="J10" s="50">
        <v>1</v>
      </c>
      <c r="K10" s="50">
        <v>1</v>
      </c>
      <c r="L10" s="50">
        <v>1</v>
      </c>
      <c r="M10" s="50">
        <v>1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0">
        <v>0</v>
      </c>
    </row>
    <row r="11" spans="1:37" x14ac:dyDescent="0.35">
      <c r="A11" s="8" t="s">
        <v>102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</row>
    <row r="12" spans="1:37" x14ac:dyDescent="0.35">
      <c r="A12" s="21" t="s">
        <v>97</v>
      </c>
      <c r="B12" s="50" t="s">
        <v>100</v>
      </c>
      <c r="C12" s="50" t="s">
        <v>100</v>
      </c>
      <c r="D12" s="50" t="s">
        <v>100</v>
      </c>
      <c r="E12" s="50" t="s">
        <v>100</v>
      </c>
      <c r="F12" s="50" t="s">
        <v>100</v>
      </c>
      <c r="G12" s="50" t="s">
        <v>100</v>
      </c>
      <c r="H12" s="50" t="s">
        <v>100</v>
      </c>
      <c r="I12" s="50" t="s">
        <v>100</v>
      </c>
      <c r="J12" s="50" t="s">
        <v>100</v>
      </c>
      <c r="K12" s="50" t="s">
        <v>100</v>
      </c>
      <c r="L12" s="50" t="s">
        <v>100</v>
      </c>
      <c r="M12" s="50">
        <v>1</v>
      </c>
      <c r="N12" s="50" t="s">
        <v>100</v>
      </c>
      <c r="O12" s="50" t="s">
        <v>100</v>
      </c>
      <c r="P12" s="50" t="s">
        <v>100</v>
      </c>
      <c r="Q12" s="50" t="s">
        <v>100</v>
      </c>
      <c r="R12" s="50" t="s">
        <v>100</v>
      </c>
      <c r="S12" s="50" t="s">
        <v>100</v>
      </c>
      <c r="T12" s="50" t="s">
        <v>100</v>
      </c>
      <c r="U12" s="50" t="s">
        <v>100</v>
      </c>
      <c r="V12" s="50" t="s">
        <v>100</v>
      </c>
      <c r="W12" s="50" t="s">
        <v>100</v>
      </c>
      <c r="X12" s="50" t="s">
        <v>100</v>
      </c>
      <c r="Y12" s="50" t="s">
        <v>100</v>
      </c>
      <c r="Z12" s="50" t="s">
        <v>100</v>
      </c>
      <c r="AA12" s="50" t="s">
        <v>100</v>
      </c>
      <c r="AB12" s="50" t="s">
        <v>100</v>
      </c>
      <c r="AC12" s="50" t="s">
        <v>100</v>
      </c>
      <c r="AD12" s="50" t="s">
        <v>100</v>
      </c>
      <c r="AE12" s="50" t="s">
        <v>100</v>
      </c>
      <c r="AF12" s="50" t="s">
        <v>100</v>
      </c>
      <c r="AG12" s="50" t="s">
        <v>100</v>
      </c>
      <c r="AH12" s="50" t="s">
        <v>100</v>
      </c>
      <c r="AI12" s="50" t="s">
        <v>100</v>
      </c>
      <c r="AJ12" s="50" t="s">
        <v>100</v>
      </c>
      <c r="AK12" s="50" t="s">
        <v>100</v>
      </c>
    </row>
    <row r="13" spans="1:37" x14ac:dyDescent="0.35">
      <c r="A13" s="8" t="s">
        <v>109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</row>
    <row r="14" spans="1:37" x14ac:dyDescent="0.35">
      <c r="A14" s="21" t="s">
        <v>106</v>
      </c>
      <c r="B14" s="50" t="s">
        <v>100</v>
      </c>
      <c r="C14" s="50" t="s">
        <v>100</v>
      </c>
      <c r="D14" s="50" t="s">
        <v>100</v>
      </c>
      <c r="E14" s="50" t="s">
        <v>100</v>
      </c>
      <c r="F14" s="50" t="s">
        <v>100</v>
      </c>
      <c r="G14" s="50" t="s">
        <v>100</v>
      </c>
      <c r="H14" s="50" t="s">
        <v>100</v>
      </c>
      <c r="I14" s="50" t="s">
        <v>100</v>
      </c>
      <c r="J14" s="50" t="s">
        <v>100</v>
      </c>
      <c r="K14" s="50" t="s">
        <v>100</v>
      </c>
      <c r="L14" s="50" t="s">
        <v>100</v>
      </c>
      <c r="M14" s="50" t="s">
        <v>100</v>
      </c>
      <c r="N14" s="50">
        <v>1</v>
      </c>
      <c r="O14" s="50">
        <v>1</v>
      </c>
      <c r="P14" s="50">
        <v>1</v>
      </c>
      <c r="Q14" s="50">
        <v>1</v>
      </c>
      <c r="R14" s="50">
        <v>1</v>
      </c>
      <c r="S14" s="50">
        <v>1</v>
      </c>
      <c r="T14" s="50">
        <v>1</v>
      </c>
      <c r="U14" s="50">
        <v>1</v>
      </c>
      <c r="V14" s="50">
        <v>1</v>
      </c>
      <c r="W14" s="50">
        <v>1</v>
      </c>
      <c r="X14" s="50">
        <v>1</v>
      </c>
      <c r="Y14" s="50">
        <v>1</v>
      </c>
      <c r="Z14" s="50" t="s">
        <v>100</v>
      </c>
      <c r="AA14" s="50" t="s">
        <v>100</v>
      </c>
      <c r="AB14" s="50" t="s">
        <v>100</v>
      </c>
      <c r="AC14" s="50" t="s">
        <v>100</v>
      </c>
      <c r="AD14" s="50" t="s">
        <v>100</v>
      </c>
      <c r="AE14" s="50" t="s">
        <v>100</v>
      </c>
      <c r="AF14" s="50" t="s">
        <v>100</v>
      </c>
      <c r="AG14" s="50" t="s">
        <v>100</v>
      </c>
      <c r="AH14" s="50" t="s">
        <v>100</v>
      </c>
      <c r="AI14" s="50" t="s">
        <v>100</v>
      </c>
      <c r="AJ14" s="50" t="s">
        <v>100</v>
      </c>
      <c r="AK14" s="50" t="s">
        <v>100</v>
      </c>
    </row>
    <row r="15" spans="1:37" x14ac:dyDescent="0.35">
      <c r="A15" s="21" t="s">
        <v>108</v>
      </c>
      <c r="B15" s="50" t="s">
        <v>100</v>
      </c>
      <c r="C15" s="50" t="s">
        <v>100</v>
      </c>
      <c r="D15" s="50" t="s">
        <v>100</v>
      </c>
      <c r="E15" s="50" t="s">
        <v>100</v>
      </c>
      <c r="F15" s="50" t="s">
        <v>100</v>
      </c>
      <c r="G15" s="50" t="s">
        <v>100</v>
      </c>
      <c r="H15" s="50" t="s">
        <v>100</v>
      </c>
      <c r="I15" s="50" t="s">
        <v>100</v>
      </c>
      <c r="J15" s="50" t="s">
        <v>100</v>
      </c>
      <c r="K15" s="50" t="s">
        <v>100</v>
      </c>
      <c r="L15" s="50" t="s">
        <v>100</v>
      </c>
      <c r="M15" s="50" t="s">
        <v>100</v>
      </c>
      <c r="N15" s="50" t="s">
        <v>100</v>
      </c>
      <c r="O15" s="50" t="s">
        <v>100</v>
      </c>
      <c r="P15" s="50" t="s">
        <v>100</v>
      </c>
      <c r="Q15" s="50" t="s">
        <v>100</v>
      </c>
      <c r="R15" s="50" t="s">
        <v>100</v>
      </c>
      <c r="S15" s="50" t="s">
        <v>100</v>
      </c>
      <c r="T15" s="50">
        <v>1</v>
      </c>
      <c r="U15" s="50">
        <v>1</v>
      </c>
      <c r="V15" s="50">
        <v>1</v>
      </c>
      <c r="W15" s="50">
        <v>1</v>
      </c>
      <c r="X15" s="50">
        <v>1</v>
      </c>
      <c r="Y15" s="50">
        <v>1</v>
      </c>
      <c r="Z15" s="50">
        <v>2</v>
      </c>
      <c r="AA15" s="50">
        <v>2</v>
      </c>
      <c r="AB15" s="50">
        <v>2</v>
      </c>
      <c r="AC15" s="50">
        <v>2</v>
      </c>
      <c r="AD15" s="50">
        <v>2</v>
      </c>
      <c r="AE15" s="50">
        <v>2</v>
      </c>
      <c r="AF15" s="50">
        <v>2</v>
      </c>
      <c r="AG15" s="50">
        <v>2</v>
      </c>
      <c r="AH15" s="50">
        <v>2</v>
      </c>
      <c r="AI15" s="50">
        <v>2</v>
      </c>
      <c r="AJ15" s="50">
        <v>2</v>
      </c>
      <c r="AK15" s="50">
        <v>2</v>
      </c>
    </row>
    <row r="16" spans="1:37" x14ac:dyDescent="0.35">
      <c r="A16" s="21" t="s">
        <v>107</v>
      </c>
      <c r="B16" s="50" t="s">
        <v>100</v>
      </c>
      <c r="C16" s="50" t="s">
        <v>100</v>
      </c>
      <c r="D16" s="50" t="s">
        <v>100</v>
      </c>
      <c r="E16" s="50" t="s">
        <v>100</v>
      </c>
      <c r="F16" s="50" t="s">
        <v>100</v>
      </c>
      <c r="G16" s="50" t="s">
        <v>100</v>
      </c>
      <c r="H16" s="50" t="s">
        <v>100</v>
      </c>
      <c r="I16" s="50" t="s">
        <v>100</v>
      </c>
      <c r="J16" s="50" t="s">
        <v>100</v>
      </c>
      <c r="K16" s="50" t="s">
        <v>100</v>
      </c>
      <c r="L16" s="50" t="s">
        <v>100</v>
      </c>
      <c r="M16" s="50" t="s">
        <v>100</v>
      </c>
      <c r="N16" s="50">
        <v>1</v>
      </c>
      <c r="O16" s="50">
        <v>1</v>
      </c>
      <c r="P16" s="50">
        <v>1</v>
      </c>
      <c r="Q16" s="50">
        <v>1</v>
      </c>
      <c r="R16" s="50">
        <v>1</v>
      </c>
      <c r="S16" s="50">
        <v>1</v>
      </c>
      <c r="T16" s="50">
        <v>1</v>
      </c>
      <c r="U16" s="50">
        <v>1</v>
      </c>
      <c r="V16" s="50">
        <v>1</v>
      </c>
      <c r="W16" s="50">
        <v>1</v>
      </c>
      <c r="X16" s="50">
        <v>1</v>
      </c>
      <c r="Y16" s="50">
        <v>1</v>
      </c>
      <c r="Z16" s="50" t="s">
        <v>100</v>
      </c>
      <c r="AA16" s="50" t="s">
        <v>100</v>
      </c>
      <c r="AB16" s="50" t="s">
        <v>100</v>
      </c>
      <c r="AC16" s="50" t="s">
        <v>100</v>
      </c>
      <c r="AD16" s="50" t="s">
        <v>100</v>
      </c>
      <c r="AE16" s="50" t="s">
        <v>100</v>
      </c>
      <c r="AF16" s="50" t="s">
        <v>100</v>
      </c>
      <c r="AG16" s="50" t="s">
        <v>100</v>
      </c>
      <c r="AH16" s="50" t="s">
        <v>100</v>
      </c>
      <c r="AI16" s="50" t="s">
        <v>100</v>
      </c>
      <c r="AJ16" s="50" t="s">
        <v>100</v>
      </c>
      <c r="AK16" s="50" t="s">
        <v>100</v>
      </c>
    </row>
    <row r="17" spans="1:37" x14ac:dyDescent="0.35">
      <c r="A17" s="8" t="s">
        <v>30</v>
      </c>
      <c r="B17" s="50">
        <f>SUM(B4:B16)</f>
        <v>5</v>
      </c>
      <c r="C17" s="50">
        <f t="shared" ref="C17:AK17" si="0">SUM(C4:C16)</f>
        <v>5</v>
      </c>
      <c r="D17" s="50">
        <f t="shared" si="0"/>
        <v>5</v>
      </c>
      <c r="E17" s="50">
        <f t="shared" si="0"/>
        <v>5</v>
      </c>
      <c r="F17" s="50">
        <f t="shared" si="0"/>
        <v>5</v>
      </c>
      <c r="G17" s="50">
        <f t="shared" si="0"/>
        <v>4</v>
      </c>
      <c r="H17" s="50">
        <f t="shared" si="0"/>
        <v>4</v>
      </c>
      <c r="I17" s="50">
        <f t="shared" si="0"/>
        <v>4</v>
      </c>
      <c r="J17" s="50">
        <f t="shared" si="0"/>
        <v>5</v>
      </c>
      <c r="K17" s="50">
        <f t="shared" si="0"/>
        <v>4</v>
      </c>
      <c r="L17" s="50">
        <f t="shared" si="0"/>
        <v>4</v>
      </c>
      <c r="M17" s="50">
        <f t="shared" si="0"/>
        <v>5</v>
      </c>
      <c r="N17" s="50">
        <f t="shared" si="0"/>
        <v>5</v>
      </c>
      <c r="O17" s="50">
        <f t="shared" si="0"/>
        <v>5</v>
      </c>
      <c r="P17" s="50">
        <f t="shared" si="0"/>
        <v>5</v>
      </c>
      <c r="Q17" s="50">
        <f t="shared" si="0"/>
        <v>5</v>
      </c>
      <c r="R17" s="50">
        <f t="shared" si="0"/>
        <v>5</v>
      </c>
      <c r="S17" s="50">
        <f t="shared" si="0"/>
        <v>5</v>
      </c>
      <c r="T17" s="50">
        <f t="shared" si="0"/>
        <v>7</v>
      </c>
      <c r="U17" s="50">
        <f t="shared" si="0"/>
        <v>7</v>
      </c>
      <c r="V17" s="50">
        <f t="shared" si="0"/>
        <v>7</v>
      </c>
      <c r="W17" s="50">
        <f t="shared" si="0"/>
        <v>7</v>
      </c>
      <c r="X17" s="50">
        <f t="shared" si="0"/>
        <v>7</v>
      </c>
      <c r="Y17" s="50">
        <f t="shared" si="0"/>
        <v>7</v>
      </c>
      <c r="Z17" s="50">
        <f t="shared" si="0"/>
        <v>6</v>
      </c>
      <c r="AA17" s="50">
        <f t="shared" si="0"/>
        <v>6</v>
      </c>
      <c r="AB17" s="50">
        <f t="shared" si="0"/>
        <v>6</v>
      </c>
      <c r="AC17" s="50">
        <f t="shared" si="0"/>
        <v>6</v>
      </c>
      <c r="AD17" s="50">
        <f t="shared" si="0"/>
        <v>6</v>
      </c>
      <c r="AE17" s="50">
        <f t="shared" si="0"/>
        <v>6</v>
      </c>
      <c r="AF17" s="50">
        <f t="shared" si="0"/>
        <v>6</v>
      </c>
      <c r="AG17" s="50">
        <f t="shared" si="0"/>
        <v>6</v>
      </c>
      <c r="AH17" s="50">
        <f t="shared" si="0"/>
        <v>6</v>
      </c>
      <c r="AI17" s="50">
        <f t="shared" si="0"/>
        <v>6</v>
      </c>
      <c r="AJ17" s="50">
        <f t="shared" si="0"/>
        <v>6</v>
      </c>
      <c r="AK17" s="50">
        <f t="shared" si="0"/>
        <v>6</v>
      </c>
    </row>
  </sheetData>
  <mergeCells count="4">
    <mergeCell ref="B1:M1"/>
    <mergeCell ref="N1:Y1"/>
    <mergeCell ref="Z1:AK1"/>
    <mergeCell ref="A1:A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8C4D0-806F-4978-BEAE-07BD616C0925}">
  <dimension ref="A1:AR38"/>
  <sheetViews>
    <sheetView topLeftCell="A29" zoomScale="83" workbookViewId="0">
      <selection activeCell="A21" sqref="A21"/>
    </sheetView>
  </sheetViews>
  <sheetFormatPr defaultRowHeight="14.5" x14ac:dyDescent="0.35"/>
  <cols>
    <col min="1" max="1" width="43.36328125" customWidth="1"/>
    <col min="2" max="2" width="13.90625" bestFit="1" customWidth="1"/>
    <col min="3" max="3" width="11.08984375" bestFit="1" customWidth="1"/>
    <col min="4" max="4" width="10" bestFit="1" customWidth="1"/>
    <col min="5" max="5" width="11.08984375" bestFit="1" customWidth="1"/>
    <col min="6" max="10" width="12.1796875" bestFit="1" customWidth="1"/>
    <col min="11" max="17" width="11.08984375" bestFit="1" customWidth="1"/>
    <col min="18" max="18" width="16.1796875" customWidth="1"/>
    <col min="19" max="30" width="11.08984375" bestFit="1" customWidth="1"/>
    <col min="31" max="31" width="12.90625" customWidth="1"/>
    <col min="32" max="32" width="11.453125" bestFit="1" customWidth="1"/>
    <col min="33" max="41" width="11.08984375" bestFit="1" customWidth="1"/>
    <col min="42" max="42" width="12.7265625" customWidth="1"/>
    <col min="43" max="43" width="11.453125" bestFit="1" customWidth="1"/>
    <col min="44" max="44" width="13.81640625" customWidth="1"/>
  </cols>
  <sheetData>
    <row r="1" spans="1:44" ht="16" customHeight="1" x14ac:dyDescent="0.35">
      <c r="A1" s="72" t="s">
        <v>31</v>
      </c>
      <c r="B1" s="72"/>
      <c r="C1" s="72"/>
      <c r="D1" s="72"/>
      <c r="E1" s="72"/>
      <c r="F1" s="70" t="s">
        <v>25</v>
      </c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12" t="s">
        <v>47</v>
      </c>
      <c r="S1" s="73" t="s">
        <v>26</v>
      </c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12" t="s">
        <v>32</v>
      </c>
      <c r="AF1" s="73" t="s">
        <v>27</v>
      </c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12" t="s">
        <v>33</v>
      </c>
    </row>
    <row r="2" spans="1:44" x14ac:dyDescent="0.35">
      <c r="A2" s="8"/>
      <c r="B2" s="8"/>
      <c r="C2" s="8"/>
      <c r="D2" s="70" t="s">
        <v>34</v>
      </c>
      <c r="E2" s="70"/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  <c r="K2" s="7" t="s">
        <v>18</v>
      </c>
      <c r="L2" s="7" t="s">
        <v>19</v>
      </c>
      <c r="M2" s="7" t="s">
        <v>20</v>
      </c>
      <c r="N2" s="7" t="s">
        <v>21</v>
      </c>
      <c r="O2" s="7" t="s">
        <v>22</v>
      </c>
      <c r="P2" s="7" t="s">
        <v>23</v>
      </c>
      <c r="Q2" s="7" t="s">
        <v>24</v>
      </c>
      <c r="R2" s="7"/>
      <c r="S2" s="7" t="s">
        <v>13</v>
      </c>
      <c r="T2" s="7" t="s">
        <v>14</v>
      </c>
      <c r="U2" s="7" t="s">
        <v>15</v>
      </c>
      <c r="V2" s="7" t="s">
        <v>16</v>
      </c>
      <c r="W2" s="7" t="s">
        <v>17</v>
      </c>
      <c r="X2" s="7" t="s">
        <v>18</v>
      </c>
      <c r="Y2" s="7" t="s">
        <v>19</v>
      </c>
      <c r="Z2" s="7" t="s">
        <v>20</v>
      </c>
      <c r="AA2" s="7" t="s">
        <v>21</v>
      </c>
      <c r="AB2" s="7" t="s">
        <v>22</v>
      </c>
      <c r="AC2" s="7" t="s">
        <v>23</v>
      </c>
      <c r="AD2" s="7" t="s">
        <v>24</v>
      </c>
      <c r="AE2" s="7"/>
      <c r="AF2" s="7" t="s">
        <v>13</v>
      </c>
      <c r="AG2" s="7" t="s">
        <v>14</v>
      </c>
      <c r="AH2" s="7" t="s">
        <v>15</v>
      </c>
      <c r="AI2" s="7" t="s">
        <v>16</v>
      </c>
      <c r="AJ2" s="7" t="s">
        <v>17</v>
      </c>
      <c r="AK2" s="7" t="s">
        <v>18</v>
      </c>
      <c r="AL2" s="7" t="s">
        <v>19</v>
      </c>
      <c r="AM2" s="7" t="s">
        <v>20</v>
      </c>
      <c r="AN2" s="7" t="s">
        <v>21</v>
      </c>
      <c r="AO2" s="7" t="s">
        <v>22</v>
      </c>
      <c r="AP2" s="7" t="s">
        <v>23</v>
      </c>
      <c r="AQ2" s="7" t="s">
        <v>24</v>
      </c>
      <c r="AR2" s="1"/>
    </row>
    <row r="3" spans="1:44" ht="43.5" x14ac:dyDescent="0.35">
      <c r="A3" s="53" t="s">
        <v>28</v>
      </c>
      <c r="B3" s="11" t="s">
        <v>35</v>
      </c>
      <c r="C3" s="32" t="s">
        <v>36</v>
      </c>
      <c r="D3" s="32" t="s">
        <v>37</v>
      </c>
      <c r="E3" s="32" t="s">
        <v>38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x14ac:dyDescent="0.35">
      <c r="A4" s="33" t="s">
        <v>128</v>
      </c>
      <c r="B4" s="54">
        <v>55000</v>
      </c>
      <c r="C4" s="47">
        <f>B4*1.15</f>
        <v>63249.999999999993</v>
      </c>
      <c r="D4" s="47">
        <f>C4*0.13</f>
        <v>8222.5</v>
      </c>
      <c r="E4" s="55">
        <f>C4-D4</f>
        <v>55027.499999999993</v>
      </c>
      <c r="F4" s="47">
        <f>$C$4*'Прогноз по персоналу в людях'!B4</f>
        <v>0</v>
      </c>
      <c r="G4" s="48">
        <f>$C$4*'Прогноз по персоналу в людях'!C4</f>
        <v>0</v>
      </c>
      <c r="H4" s="48">
        <f>$C$4*'Прогноз по персоналу в людях'!D4</f>
        <v>0</v>
      </c>
      <c r="I4" s="48">
        <f>$C$4*'Прогноз по персоналу в людях'!E4</f>
        <v>0</v>
      </c>
      <c r="J4" s="48">
        <f>$C$4*'Прогноз по персоналу в людях'!F4</f>
        <v>0</v>
      </c>
      <c r="K4" s="48">
        <f>$C$4*'Прогноз по персоналу в людях'!G4</f>
        <v>0</v>
      </c>
      <c r="L4" s="48">
        <f>$C$4*'Прогноз по персоналу в людях'!H4</f>
        <v>0</v>
      </c>
      <c r="M4" s="48">
        <f>$C$4*'Прогноз по персоналу в людях'!I4</f>
        <v>0</v>
      </c>
      <c r="N4" s="48">
        <f>$C$4*'Прогноз по персоналу в людях'!J4</f>
        <v>0</v>
      </c>
      <c r="O4" s="48">
        <f>$C$4*'Прогноз по персоналу в людях'!K4</f>
        <v>0</v>
      </c>
      <c r="P4" s="48">
        <f>$C$4*'Прогноз по персоналу в людях'!L4</f>
        <v>0</v>
      </c>
      <c r="Q4" s="48">
        <f>$C$4*'Прогноз по персоналу в людях'!M4</f>
        <v>0</v>
      </c>
      <c r="R4" s="48">
        <f>SUM(F4:Q4)</f>
        <v>0</v>
      </c>
      <c r="S4" s="48">
        <f>$C$4*'Прогноз по персоналу в людях'!N4</f>
        <v>63249.999999999993</v>
      </c>
      <c r="T4" s="48">
        <f>$C$4*'Прогноз по персоналу в людях'!O4</f>
        <v>63249.999999999993</v>
      </c>
      <c r="U4" s="48">
        <f>$C$4*'Прогноз по персоналу в людях'!P4</f>
        <v>63249.999999999993</v>
      </c>
      <c r="V4" s="48">
        <f>$C$4*'Прогноз по персоналу в людях'!Q4</f>
        <v>63249.999999999993</v>
      </c>
      <c r="W4" s="48">
        <f>$C$4*'Прогноз по персоналу в людях'!R4</f>
        <v>63249.999999999993</v>
      </c>
      <c r="X4" s="48">
        <f>$C$4*'Прогноз по персоналу в людях'!S4</f>
        <v>63249.999999999993</v>
      </c>
      <c r="Y4" s="48">
        <f>$C$4*'Прогноз по персоналу в людях'!T4</f>
        <v>63249.999999999993</v>
      </c>
      <c r="Z4" s="48">
        <f>$C$4*'Прогноз по персоналу в людях'!U4</f>
        <v>63249.999999999993</v>
      </c>
      <c r="AA4" s="48">
        <f>$C$4*'Прогноз по персоналу в людях'!V4</f>
        <v>63249.999999999993</v>
      </c>
      <c r="AB4" s="48">
        <f>$C$4*'Прогноз по персоналу в людях'!W4</f>
        <v>63249.999999999993</v>
      </c>
      <c r="AC4" s="48">
        <f>$C$4*'Прогноз по персоналу в людях'!X4</f>
        <v>63249.999999999993</v>
      </c>
      <c r="AD4" s="48">
        <f>$C$4*'Прогноз по персоналу в людях'!Y4</f>
        <v>63249.999999999993</v>
      </c>
      <c r="AE4" s="56">
        <f>SUM(S4:AD4)</f>
        <v>758999.99999999988</v>
      </c>
      <c r="AF4" s="57">
        <f>$C$4*'Прогноз по персоналу в людях'!Z4*(1+'Ключевые метрики'!$F$3)</f>
        <v>67753.399999999994</v>
      </c>
      <c r="AG4" s="57">
        <f>$C$4*'Прогноз по персоналу в людях'!AA4*(1+'Ключевые метрики'!$F$3)</f>
        <v>67753.399999999994</v>
      </c>
      <c r="AH4" s="57">
        <f>$C$4*'Прогноз по персоналу в людях'!AB4*(1+'Ключевые метрики'!$F$3)</f>
        <v>67753.399999999994</v>
      </c>
      <c r="AI4" s="57">
        <f>$C$4*'Прогноз по персоналу в людях'!AC4*(1+'Ключевые метрики'!$F$3)</f>
        <v>67753.399999999994</v>
      </c>
      <c r="AJ4" s="57">
        <f>$C$4*'Прогноз по персоналу в людях'!AD4*(1+'Ключевые метрики'!$F$3)</f>
        <v>67753.399999999994</v>
      </c>
      <c r="AK4" s="57">
        <f>$C$4*'Прогноз по персоналу в людях'!AE4*(1+'Ключевые метрики'!$F$3)</f>
        <v>67753.399999999994</v>
      </c>
      <c r="AL4" s="57">
        <f>$C$4*'Прогноз по персоналу в людях'!AF4*(1+'Ключевые метрики'!$F$3)</f>
        <v>67753.399999999994</v>
      </c>
      <c r="AM4" s="57">
        <f>$C$4*'Прогноз по персоналу в людях'!AG4*(1+'Ключевые метрики'!$F$3)</f>
        <v>67753.399999999994</v>
      </c>
      <c r="AN4" s="57">
        <f>$C$4*'Прогноз по персоналу в людях'!AH4*(1+'Ключевые метрики'!$F$3)</f>
        <v>67753.399999999994</v>
      </c>
      <c r="AO4" s="57">
        <f>$C$4*'Прогноз по персоналу в людях'!AI4*(1+'Ключевые метрики'!$F$3)</f>
        <v>67753.399999999994</v>
      </c>
      <c r="AP4" s="57">
        <f>$C$4*'Прогноз по персоналу в людях'!AJ4*(1+'Ключевые метрики'!$F$3)</f>
        <v>67753.399999999994</v>
      </c>
      <c r="AQ4" s="57">
        <f>$C$4*'Прогноз по персоналу в людях'!AK4*(1+'Ключевые метрики'!$F$3)</f>
        <v>67753.399999999994</v>
      </c>
      <c r="AR4" s="48">
        <f>SUM(AF4:AQ4)</f>
        <v>813040.80000000016</v>
      </c>
    </row>
    <row r="5" spans="1:44" x14ac:dyDescent="0.35">
      <c r="A5" s="1" t="s">
        <v>104</v>
      </c>
      <c r="B5" s="48">
        <v>25000</v>
      </c>
      <c r="C5" s="47">
        <f>B5*1.15</f>
        <v>28749.999999999996</v>
      </c>
      <c r="D5" s="47">
        <f>C5*0.13</f>
        <v>3737.4999999999995</v>
      </c>
      <c r="E5" s="47">
        <f>C5-D5</f>
        <v>25012.499999999996</v>
      </c>
      <c r="F5" s="47">
        <f>$C$5*'Прогноз по персоналу в людях'!B5</f>
        <v>0</v>
      </c>
      <c r="G5" s="48">
        <f>$C$5*'Прогноз по персоналу в людях'!C5</f>
        <v>0</v>
      </c>
      <c r="H5" s="48">
        <f>$C$5*'Прогноз по персоналу в людях'!D5</f>
        <v>0</v>
      </c>
      <c r="I5" s="48">
        <f>$C$5*'Прогноз по персоналу в людях'!E5</f>
        <v>0</v>
      </c>
      <c r="J5" s="48">
        <f>$C$5*'Прогноз по персоналу в людях'!F5</f>
        <v>0</v>
      </c>
      <c r="K5" s="48">
        <f>$C$5*'Прогноз по персоналу в людях'!G5</f>
        <v>0</v>
      </c>
      <c r="L5" s="48">
        <f>$C$5*'Прогноз по персоналу в людях'!H5</f>
        <v>0</v>
      </c>
      <c r="M5" s="48">
        <f>$C$5*'Прогноз по персоналу в людях'!I5</f>
        <v>0</v>
      </c>
      <c r="N5" s="48">
        <f>$C$5*'Прогноз по персоналу в людях'!J5</f>
        <v>0</v>
      </c>
      <c r="O5" s="48">
        <f>$C$5*'Прогноз по персоналу в людях'!K5</f>
        <v>0</v>
      </c>
      <c r="P5" s="48">
        <f>$C$5*'Прогноз по персоналу в людях'!L5</f>
        <v>0</v>
      </c>
      <c r="Q5" s="48">
        <f>$C$5*'Прогноз по персоналу в людях'!M5</f>
        <v>0</v>
      </c>
      <c r="R5" s="48">
        <f>SUM(F5:Q5)</f>
        <v>0</v>
      </c>
      <c r="S5" s="48">
        <f>$C$5*'Прогноз по персоналу в людях'!N5</f>
        <v>28749.999999999996</v>
      </c>
      <c r="T5" s="48">
        <f>$S$5*'Прогноз по персоналу в людях'!O5</f>
        <v>28749.999999999996</v>
      </c>
      <c r="U5" s="48">
        <f>$S$5*'Прогноз по персоналу в людях'!P5</f>
        <v>28749.999999999996</v>
      </c>
      <c r="V5" s="48">
        <f>$S$5*'Прогноз по персоналу в людях'!Q5</f>
        <v>28749.999999999996</v>
      </c>
      <c r="W5" s="48">
        <f>$S$5*'Прогноз по персоналу в людях'!R5</f>
        <v>28749.999999999996</v>
      </c>
      <c r="X5" s="48">
        <f>$S$5*'Прогноз по персоналу в людях'!S5</f>
        <v>28749.999999999996</v>
      </c>
      <c r="Y5" s="48">
        <f>$S$5*'Прогноз по персоналу в людях'!T5</f>
        <v>28749.999999999996</v>
      </c>
      <c r="Z5" s="48">
        <f>$S$5*'Прогноз по персоналу в людях'!U5</f>
        <v>28749.999999999996</v>
      </c>
      <c r="AA5" s="48">
        <f>$S$5*'Прогноз по персоналу в людях'!V5</f>
        <v>28749.999999999996</v>
      </c>
      <c r="AB5" s="48">
        <f>$S$5*'Прогноз по персоналу в людях'!W5</f>
        <v>28749.999999999996</v>
      </c>
      <c r="AC5" s="48">
        <f>$S$5*'Прогноз по персоналу в людях'!X5</f>
        <v>28749.999999999996</v>
      </c>
      <c r="AD5" s="48">
        <f>$S$5*'Прогноз по персоналу в людях'!Y5</f>
        <v>28749.999999999996</v>
      </c>
      <c r="AE5" s="48">
        <f>SUM(S5:AD5)</f>
        <v>344999.99999999994</v>
      </c>
      <c r="AF5" s="48">
        <f>$C$5*'Прогноз по персоналу в людях'!Z5*(1+'Ключевые метрики'!$F$3)</f>
        <v>30796.999999999993</v>
      </c>
      <c r="AG5" s="48">
        <f>$C$5*'Прогноз по персоналу в людях'!AA5*(1+'Ключевые метрики'!$F$3)</f>
        <v>30796.999999999993</v>
      </c>
      <c r="AH5" s="48">
        <f>$C$5*'Прогноз по персоналу в людях'!AB5*(1+'Ключевые метрики'!$F$3)</f>
        <v>30796.999999999993</v>
      </c>
      <c r="AI5" s="48">
        <f>$C$5*'Прогноз по персоналу в людях'!AC5*(1+'Ключевые метрики'!$F$3)</f>
        <v>30796.999999999993</v>
      </c>
      <c r="AJ5" s="48">
        <f>$C$5*'Прогноз по персоналу в людях'!AD5*(1+'Ключевые метрики'!$F$3)</f>
        <v>30796.999999999993</v>
      </c>
      <c r="AK5" s="48">
        <f>$C$5*'Прогноз по персоналу в людях'!AE5*(1+'Ключевые метрики'!$F$3)</f>
        <v>30796.999999999993</v>
      </c>
      <c r="AL5" s="48">
        <f>$C$5*'Прогноз по персоналу в людях'!AF5*(1+'Ключевые метрики'!$F$3)</f>
        <v>30796.999999999993</v>
      </c>
      <c r="AM5" s="48">
        <f>$C$5*'Прогноз по персоналу в людях'!AG5*(1+'Ключевые метрики'!$F$3)</f>
        <v>30796.999999999993</v>
      </c>
      <c r="AN5" s="48">
        <f>$C$5*'Прогноз по персоналу в людях'!AH5*(1+'Ключевые метрики'!$F$3)</f>
        <v>30796.999999999993</v>
      </c>
      <c r="AO5" s="48">
        <f>$C$5*'Прогноз по персоналу в людях'!AI5*(1+'Ключевые метрики'!$F$3)</f>
        <v>30796.999999999993</v>
      </c>
      <c r="AP5" s="48">
        <f>$C$5*'Прогноз по персоналу в людях'!AJ5*(1+'Ключевые метрики'!$F$3)</f>
        <v>30796.999999999993</v>
      </c>
      <c r="AQ5" s="48">
        <f>$C$5*'Прогноз по персоналу в людях'!AK5*(1+'Ключевые метрики'!$F$3)</f>
        <v>30796.999999999993</v>
      </c>
      <c r="AR5" s="48">
        <f>SUM(AF5:AQ5)</f>
        <v>369563.99999999994</v>
      </c>
    </row>
    <row r="6" spans="1:44" x14ac:dyDescent="0.35">
      <c r="A6" s="28" t="s">
        <v>115</v>
      </c>
      <c r="B6" s="48">
        <v>24000</v>
      </c>
      <c r="C6" s="48">
        <f>B6*1.15</f>
        <v>27599.999999999996</v>
      </c>
      <c r="D6" s="48">
        <f>C6*0.13</f>
        <v>3587.9999999999995</v>
      </c>
      <c r="E6" s="48">
        <f>C6-D6</f>
        <v>24011.999999999996</v>
      </c>
      <c r="F6" s="48">
        <f>$C$6*'Прогноз по персоналу в людях'!B6</f>
        <v>27599.999999999996</v>
      </c>
      <c r="G6" s="48">
        <f>$C$6*'Прогноз по персоналу в людях'!C6</f>
        <v>27599.999999999996</v>
      </c>
      <c r="H6" s="48">
        <f>$C$6*'Прогноз по персоналу в людях'!D6</f>
        <v>27599.999999999996</v>
      </c>
      <c r="I6" s="48">
        <f>$C$6*'Прогноз по персоналу в людях'!E6</f>
        <v>27599.999999999996</v>
      </c>
      <c r="J6" s="48">
        <f>$C$6*'Прогноз по персоналу в людях'!F6</f>
        <v>27599.999999999996</v>
      </c>
      <c r="K6" s="48">
        <f>$C$6*'Прогноз по персоналу в людях'!G6</f>
        <v>27599.999999999996</v>
      </c>
      <c r="L6" s="48">
        <f>$C$6*'Прогноз по персоналу в людях'!H6</f>
        <v>27599.999999999996</v>
      </c>
      <c r="M6" s="48">
        <f>$C$6*'Прогноз по персоналу в людях'!I6</f>
        <v>27599.999999999996</v>
      </c>
      <c r="N6" s="48">
        <f>$C$6*'Прогноз по персоналу в людях'!J6</f>
        <v>27599.999999999996</v>
      </c>
      <c r="O6" s="48">
        <f>$C$6*'Прогноз по персоналу в людях'!K6</f>
        <v>27599.999999999996</v>
      </c>
      <c r="P6" s="48">
        <f>$C$6*'Прогноз по персоналу в людях'!L6</f>
        <v>27599.999999999996</v>
      </c>
      <c r="Q6" s="48">
        <f>$C$6*'Прогноз по персоналу в людях'!M6</f>
        <v>27599.999999999996</v>
      </c>
      <c r="R6" s="48">
        <f>SUM(F6:Q6)</f>
        <v>331199.99999999994</v>
      </c>
      <c r="S6" s="48">
        <f>$C$6*'Прогноз по персоналу в людях'!N6</f>
        <v>0</v>
      </c>
      <c r="T6" s="48">
        <f>$C$6*'Прогноз по персоналу в людях'!O6</f>
        <v>0</v>
      </c>
      <c r="U6" s="48">
        <f>$C$6*'Прогноз по персоналу в людях'!P6</f>
        <v>0</v>
      </c>
      <c r="V6" s="48">
        <f>$C$6*'Прогноз по персоналу в людях'!Q6</f>
        <v>0</v>
      </c>
      <c r="W6" s="48">
        <f>$C$6*'Прогноз по персоналу в людях'!R6</f>
        <v>0</v>
      </c>
      <c r="X6" s="48">
        <f>$C$6*'Прогноз по персоналу в людях'!S6</f>
        <v>0</v>
      </c>
      <c r="Y6" s="48">
        <f>$C$6*'Прогноз по персоналу в людях'!T6</f>
        <v>0</v>
      </c>
      <c r="Z6" s="48">
        <f>$C$6*'Прогноз по персоналу в людях'!U6</f>
        <v>0</v>
      </c>
      <c r="AA6" s="48">
        <f>$C$6*'Прогноз по персоналу в людях'!V6</f>
        <v>0</v>
      </c>
      <c r="AB6" s="48">
        <f>$C$6*'Прогноз по персоналу в людях'!W6</f>
        <v>0</v>
      </c>
      <c r="AC6" s="48">
        <f>$C$6*'Прогноз по персоналу в людях'!X6</f>
        <v>0</v>
      </c>
      <c r="AD6" s="48">
        <f>$C$6*'Прогноз по персоналу в людях'!Y6</f>
        <v>0</v>
      </c>
      <c r="AE6" s="48">
        <f>SUM(S6:AD6)</f>
        <v>0</v>
      </c>
      <c r="AF6" s="48">
        <f>$C$6*'Прогноз по персоналу в людях'!Z6</f>
        <v>0</v>
      </c>
      <c r="AG6" s="48">
        <f>$C$6*'Прогноз по персоналу в людях'!AA6</f>
        <v>0</v>
      </c>
      <c r="AH6" s="48">
        <f>$C$6*'Прогноз по персоналу в людях'!AB6</f>
        <v>0</v>
      </c>
      <c r="AI6" s="48">
        <f>$C$6*'Прогноз по персоналу в людях'!AC6</f>
        <v>0</v>
      </c>
      <c r="AJ6" s="48">
        <f>$C$6*'Прогноз по персоналу в людях'!AD6</f>
        <v>0</v>
      </c>
      <c r="AK6" s="48">
        <f>$C$6*'Прогноз по персоналу в людях'!AE6</f>
        <v>0</v>
      </c>
      <c r="AL6" s="48">
        <f>$C$6*'Прогноз по персоналу в людях'!AF6</f>
        <v>0</v>
      </c>
      <c r="AM6" s="48">
        <f>$C$6*'Прогноз по персоналу в людях'!AG6</f>
        <v>0</v>
      </c>
      <c r="AN6" s="48">
        <f>$C$6*'Прогноз по персоналу в людях'!AH6</f>
        <v>0</v>
      </c>
      <c r="AO6" s="48">
        <f>$C$6*'Прогноз по персоналу в людях'!AI6</f>
        <v>0</v>
      </c>
      <c r="AP6" s="48">
        <f>$C$6*'Прогноз по персоналу в людях'!AJ6</f>
        <v>0</v>
      </c>
      <c r="AQ6" s="48">
        <f>$C$6*'Прогноз по персоналу в людях'!AK6</f>
        <v>0</v>
      </c>
      <c r="AR6" s="48">
        <f>SUM(AF6:AQ6)</f>
        <v>0</v>
      </c>
    </row>
    <row r="7" spans="1:44" x14ac:dyDescent="0.35">
      <c r="A7" s="2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</row>
    <row r="8" spans="1:44" x14ac:dyDescent="0.35">
      <c r="A8" s="8" t="s">
        <v>29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</row>
    <row r="9" spans="1:44" x14ac:dyDescent="0.35">
      <c r="A9" s="19" t="s">
        <v>95</v>
      </c>
      <c r="B9" s="48">
        <v>25000</v>
      </c>
      <c r="C9" s="48">
        <f>B9*1.15</f>
        <v>28749.999999999996</v>
      </c>
      <c r="D9" s="48">
        <f>C9*0.13</f>
        <v>3737.4999999999995</v>
      </c>
      <c r="E9" s="48">
        <f>C9-D9</f>
        <v>25012.499999999996</v>
      </c>
      <c r="F9" s="48">
        <f>$C$9*'Прогноз по персоналу в людях'!B8</f>
        <v>57499.999999999993</v>
      </c>
      <c r="G9" s="48">
        <f>$C$9*'Прогноз по персоналу в людях'!C8</f>
        <v>57499.999999999993</v>
      </c>
      <c r="H9" s="48">
        <f>$C$9*'Прогноз по персоналу в людях'!D8</f>
        <v>57499.999999999993</v>
      </c>
      <c r="I9" s="48">
        <f>$C$9*'Прогноз по персоналу в людях'!E8</f>
        <v>57499.999999999993</v>
      </c>
      <c r="J9" s="48">
        <f>$C$9*'Прогноз по персоналу в людях'!F8</f>
        <v>57499.999999999993</v>
      </c>
      <c r="K9" s="48">
        <f>$C$9*'Прогноз по персоналу в людях'!G8</f>
        <v>57499.999999999993</v>
      </c>
      <c r="L9" s="48">
        <f>$C$9*'Прогноз по персоналу в людях'!H8</f>
        <v>57499.999999999993</v>
      </c>
      <c r="M9" s="48">
        <f>$C$9*'Прогноз по персоналу в людях'!I8</f>
        <v>57499.999999999993</v>
      </c>
      <c r="N9" s="48">
        <f>$C$9*'Прогноз по персоналу в людях'!J8</f>
        <v>57499.999999999993</v>
      </c>
      <c r="O9" s="48">
        <f>$C$9*'Прогноз по персоналу в людях'!K8</f>
        <v>57499.999999999993</v>
      </c>
      <c r="P9" s="48">
        <f>$C$9*'Прогноз по персоналу в людях'!L8</f>
        <v>57499.999999999993</v>
      </c>
      <c r="Q9" s="48">
        <f>$C$9*'Прогноз по персоналу в людях'!M8</f>
        <v>57499.999999999993</v>
      </c>
      <c r="R9" s="48">
        <f t="shared" ref="R9:R24" si="0">SUM(F9:Q9)</f>
        <v>689999.99999999988</v>
      </c>
      <c r="S9" s="48">
        <f>$C$9*'Прогноз по персоналу в людях'!N8*(1+'Ключевые метрики'!$F$3)</f>
        <v>30796.999999999993</v>
      </c>
      <c r="T9" s="48">
        <f>$C$9*'Прогноз по персоналу в людях'!O8*(1+'Ключевые метрики'!$F$3)</f>
        <v>30796.999999999993</v>
      </c>
      <c r="U9" s="48">
        <f>$C$9*'Прогноз по персоналу в людях'!P8*(1+'Ключевые метрики'!$F$3)</f>
        <v>30796.999999999993</v>
      </c>
      <c r="V9" s="48">
        <f>$C$9*'Прогноз по персоналу в людях'!Q8*(1+'Ключевые метрики'!$F$3)</f>
        <v>30796.999999999993</v>
      </c>
      <c r="W9" s="48">
        <f>$C$9*'Прогноз по персоналу в людях'!R8*(1+'Ключевые метрики'!$F$3)</f>
        <v>30796.999999999993</v>
      </c>
      <c r="X9" s="48">
        <f>$C$9*'Прогноз по персоналу в людях'!S8*(1+'Ключевые метрики'!$F$3)</f>
        <v>30796.999999999993</v>
      </c>
      <c r="Y9" s="48">
        <f>$C$9*'Прогноз по персоналу в людях'!T8*(1+'Ключевые метрики'!$F$3)</f>
        <v>61593.999999999985</v>
      </c>
      <c r="Z9" s="48">
        <f>$C$9*'Прогноз по персоналу в людях'!U8*(1+'Ключевые метрики'!$F$3)</f>
        <v>61593.999999999985</v>
      </c>
      <c r="AA9" s="48">
        <f>$C$9*'Прогноз по персоналу в людях'!V8*(1+'Ключевые метрики'!$F$3)</f>
        <v>61593.999999999985</v>
      </c>
      <c r="AB9" s="48">
        <f>$C$9*'Прогноз по персоналу в людях'!W8*(1+'Ключевые метрики'!$F$3)</f>
        <v>61593.999999999985</v>
      </c>
      <c r="AC9" s="48">
        <f>$C$9*'Прогноз по персоналу в людях'!X8*(1+'Ключевые метрики'!$F$3)</f>
        <v>61593.999999999985</v>
      </c>
      <c r="AD9" s="48">
        <f>$C$9*'Прогноз по персоналу в людях'!Y8*(1+'Ключевые метрики'!$F$3)</f>
        <v>61593.999999999985</v>
      </c>
      <c r="AE9" s="48">
        <f t="shared" ref="AE9:AE24" si="1">SUM(S9:AD9)</f>
        <v>554345.99999999988</v>
      </c>
      <c r="AF9" s="48">
        <f>$AD$9*(1+'Ключевые метрики'!$F$3)</f>
        <v>65979.492799999978</v>
      </c>
      <c r="AG9" s="48">
        <f>$AD$9*(1+'Ключевые метрики'!$F$3)</f>
        <v>65979.492799999978</v>
      </c>
      <c r="AH9" s="48">
        <f>$AD$9*(1+'Ключевые метрики'!$F$3)</f>
        <v>65979.492799999978</v>
      </c>
      <c r="AI9" s="48">
        <f>$AD$9*(1+'Ключевые метрики'!$F$3)</f>
        <v>65979.492799999978</v>
      </c>
      <c r="AJ9" s="48">
        <f>$AD$9*(1+'Ключевые метрики'!$F$3)</f>
        <v>65979.492799999978</v>
      </c>
      <c r="AK9" s="48">
        <f>$AD$9*(1+'Ключевые метрики'!$F$3)</f>
        <v>65979.492799999978</v>
      </c>
      <c r="AL9" s="48">
        <f>$AD$9*(1+'Ключевые метрики'!$F$3)</f>
        <v>65979.492799999978</v>
      </c>
      <c r="AM9" s="48">
        <f>$AD$9*(1+'Ключевые метрики'!$F$3)</f>
        <v>65979.492799999978</v>
      </c>
      <c r="AN9" s="48">
        <f>$AD$9*(1+'Ключевые метрики'!$F$3)</f>
        <v>65979.492799999978</v>
      </c>
      <c r="AO9" s="48">
        <f>$AD$9*(1+'Ключевые метрики'!$F$3)</f>
        <v>65979.492799999978</v>
      </c>
      <c r="AP9" s="48">
        <f>$AD$9*(1+'Ключевые метрики'!$F$3)</f>
        <v>65979.492799999978</v>
      </c>
      <c r="AQ9" s="48">
        <f>$AD$9*(1+'Ключевые метрики'!$F$3)</f>
        <v>65979.492799999978</v>
      </c>
      <c r="AR9" s="48">
        <f t="shared" ref="AR9:AR24" si="2">SUM(AF9:AQ9)</f>
        <v>791753.91359999997</v>
      </c>
    </row>
    <row r="10" spans="1:44" x14ac:dyDescent="0.35">
      <c r="A10" s="21" t="s">
        <v>101</v>
      </c>
      <c r="B10" s="48">
        <v>28000</v>
      </c>
      <c r="C10" s="48">
        <f>B10*1.15</f>
        <v>32199.999999999996</v>
      </c>
      <c r="D10" s="48">
        <f>C10*0.13</f>
        <v>4186</v>
      </c>
      <c r="E10" s="48">
        <f>C10-D10</f>
        <v>28013.999999999996</v>
      </c>
      <c r="F10" s="48">
        <f>$C$10*'Прогноз по персоналу в людях'!B9</f>
        <v>32199.999999999996</v>
      </c>
      <c r="G10" s="48">
        <f>$C$10*'Прогноз по персоналу в людях'!C9</f>
        <v>32199.999999999996</v>
      </c>
      <c r="H10" s="48">
        <f>$C$10*'Прогноз по персоналу в людях'!D9</f>
        <v>32199.999999999996</v>
      </c>
      <c r="I10" s="48">
        <f>$C$10*'Прогноз по персоналу в людях'!E9</f>
        <v>32199.999999999996</v>
      </c>
      <c r="J10" s="48">
        <f>$C$10*'Прогноз по персоналу в людях'!F9</f>
        <v>32199.999999999996</v>
      </c>
      <c r="K10" s="48">
        <f>$C$10*'Прогноз по персоналу в людях'!G9</f>
        <v>0</v>
      </c>
      <c r="L10" s="48">
        <f>$C$10*'Прогноз по персоналу в людях'!H9</f>
        <v>0</v>
      </c>
      <c r="M10" s="48">
        <f>$C$10*'Прогноз по персоналу в людях'!I9</f>
        <v>0</v>
      </c>
      <c r="N10" s="48">
        <f>$C$10*'Прогноз по персоналу в людях'!J9</f>
        <v>32199.999999999996</v>
      </c>
      <c r="O10" s="48">
        <f>$C$10*'Прогноз по персоналу в людях'!K9</f>
        <v>0</v>
      </c>
      <c r="P10" s="48">
        <f>$C$10*'Прогноз по персоналу в людях'!L9</f>
        <v>0</v>
      </c>
      <c r="Q10" s="48">
        <f>$C$10*'Прогноз по персоналу в людях'!M9</f>
        <v>0</v>
      </c>
      <c r="R10" s="48">
        <f t="shared" si="0"/>
        <v>193199.99999999997</v>
      </c>
      <c r="S10" s="48" t="s">
        <v>100</v>
      </c>
      <c r="T10" s="48" t="s">
        <v>100</v>
      </c>
      <c r="U10" s="48" t="s">
        <v>100</v>
      </c>
      <c r="V10" s="48" t="s">
        <v>100</v>
      </c>
      <c r="W10" s="48" t="s">
        <v>100</v>
      </c>
      <c r="X10" s="48" t="s">
        <v>100</v>
      </c>
      <c r="Y10" s="48" t="s">
        <v>100</v>
      </c>
      <c r="Z10" s="48" t="s">
        <v>100</v>
      </c>
      <c r="AA10" s="48" t="s">
        <v>100</v>
      </c>
      <c r="AB10" s="48" t="s">
        <v>100</v>
      </c>
      <c r="AC10" s="48" t="s">
        <v>100</v>
      </c>
      <c r="AD10" s="48" t="s">
        <v>100</v>
      </c>
      <c r="AE10" s="48">
        <f t="shared" si="1"/>
        <v>0</v>
      </c>
      <c r="AF10" s="48" t="s">
        <v>100</v>
      </c>
      <c r="AG10" s="48" t="s">
        <v>100</v>
      </c>
      <c r="AH10" s="48" t="s">
        <v>100</v>
      </c>
      <c r="AI10" s="48" t="s">
        <v>100</v>
      </c>
      <c r="AJ10" s="48" t="s">
        <v>100</v>
      </c>
      <c r="AK10" s="48" t="s">
        <v>100</v>
      </c>
      <c r="AL10" s="48" t="s">
        <v>100</v>
      </c>
      <c r="AM10" s="48" t="s">
        <v>100</v>
      </c>
      <c r="AN10" s="48" t="s">
        <v>100</v>
      </c>
      <c r="AO10" s="48" t="s">
        <v>100</v>
      </c>
      <c r="AP10" s="48" t="s">
        <v>100</v>
      </c>
      <c r="AQ10" s="48" t="s">
        <v>100</v>
      </c>
      <c r="AR10" s="48">
        <f t="shared" si="2"/>
        <v>0</v>
      </c>
    </row>
    <row r="11" spans="1:44" x14ac:dyDescent="0.35">
      <c r="A11" s="33" t="s">
        <v>129</v>
      </c>
      <c r="B11" s="48">
        <v>30000</v>
      </c>
      <c r="C11" s="48">
        <f>B11*1.15</f>
        <v>34500</v>
      </c>
      <c r="D11" s="48">
        <f>C11*0.13</f>
        <v>4485</v>
      </c>
      <c r="E11" s="48">
        <f>C11-D11</f>
        <v>30015</v>
      </c>
      <c r="F11" s="48">
        <f>$C$11*'Прогноз по персоналу в людях'!B10</f>
        <v>34500</v>
      </c>
      <c r="G11" s="48">
        <f>$C$11*'Прогноз по персоналу в людях'!C10</f>
        <v>34500</v>
      </c>
      <c r="H11" s="48">
        <f>$C$11*'Прогноз по персоналу в людях'!D10</f>
        <v>34500</v>
      </c>
      <c r="I11" s="48">
        <f>$C$11*'Прогноз по персоналу в людях'!E10</f>
        <v>34500</v>
      </c>
      <c r="J11" s="48">
        <f>$C$11*'Прогноз по персоналу в людях'!F10</f>
        <v>34500</v>
      </c>
      <c r="K11" s="48">
        <f>$C$11*'Прогноз по персоналу в людях'!G10</f>
        <v>34500</v>
      </c>
      <c r="L11" s="48">
        <f>$C$11*'Прогноз по персоналу в людях'!H10</f>
        <v>34500</v>
      </c>
      <c r="M11" s="48">
        <f>$C$11*'Прогноз по персоналу в людях'!I10</f>
        <v>34500</v>
      </c>
      <c r="N11" s="48">
        <f>$C$11*'Прогноз по персоналу в людях'!J10</f>
        <v>34500</v>
      </c>
      <c r="O11" s="48">
        <f>$C$11*'Прогноз по персоналу в людях'!K10</f>
        <v>34500</v>
      </c>
      <c r="P11" s="48">
        <f>$C$11*'Прогноз по персоналу в людях'!L10</f>
        <v>34500</v>
      </c>
      <c r="Q11" s="48">
        <f>$C$11*'Прогноз по персоналу в людях'!M10</f>
        <v>34500</v>
      </c>
      <c r="R11" s="48">
        <f t="shared" si="0"/>
        <v>414000</v>
      </c>
      <c r="S11" s="48">
        <f>$C$11*'Прогноз по персоналу в людях'!N10*(1+'Ключевые метрики'!$F$3)</f>
        <v>0</v>
      </c>
      <c r="T11" s="48">
        <f>$C$11*'Прогноз по персоналу в людях'!O10</f>
        <v>0</v>
      </c>
      <c r="U11" s="48">
        <f>$C$11*'Прогноз по персоналу в людях'!P10</f>
        <v>0</v>
      </c>
      <c r="V11" s="48">
        <f>$C$11*'Прогноз по персоналу в людях'!Q10</f>
        <v>0</v>
      </c>
      <c r="W11" s="48">
        <f>$C$11*'Прогноз по персоналу в людях'!R10</f>
        <v>0</v>
      </c>
      <c r="X11" s="48">
        <f>$C$11*'Прогноз по персоналу в людях'!S10</f>
        <v>0</v>
      </c>
      <c r="Y11" s="48">
        <f>$C$11*'Прогноз по персоналу в людях'!T10</f>
        <v>0</v>
      </c>
      <c r="Z11" s="48">
        <f>$C$11*'Прогноз по персоналу в людях'!U10</f>
        <v>0</v>
      </c>
      <c r="AA11" s="48">
        <f>$C$11*'Прогноз по персоналу в людях'!V10</f>
        <v>0</v>
      </c>
      <c r="AB11" s="48">
        <f>$C$11*'Прогноз по персоналу в людях'!W10</f>
        <v>0</v>
      </c>
      <c r="AC11" s="48">
        <f>$C$11*'Прогноз по персоналу в людях'!X10</f>
        <v>0</v>
      </c>
      <c r="AD11" s="48">
        <f>$C$11*'Прогноз по персоналу в людях'!Y10</f>
        <v>0</v>
      </c>
      <c r="AE11" s="48">
        <f t="shared" si="1"/>
        <v>0</v>
      </c>
      <c r="AF11" s="48">
        <f>$C$11*'Прогноз по персоналу в людях'!Z10*(1+'Ключевые метрики'!$F$3)</f>
        <v>0</v>
      </c>
      <c r="AG11" s="48">
        <f>$C$11*'Прогноз по персоналу в людях'!AA10*(1+'Ключевые метрики'!$F$3)</f>
        <v>0</v>
      </c>
      <c r="AH11" s="48">
        <f>$C$11*'Прогноз по персоналу в людях'!AB10*(1+'Ключевые метрики'!$F$3)</f>
        <v>0</v>
      </c>
      <c r="AI11" s="48">
        <f>$C$11*'Прогноз по персоналу в людях'!AC10*(1+'Ключевые метрики'!$F$3)</f>
        <v>0</v>
      </c>
      <c r="AJ11" s="48">
        <f>$C$11*'Прогноз по персоналу в людях'!AD10*(1+'Ключевые метрики'!$F$3)</f>
        <v>0</v>
      </c>
      <c r="AK11" s="48">
        <f>$C$11*'Прогноз по персоналу в людях'!AE10*(1+'Ключевые метрики'!$F$3)</f>
        <v>0</v>
      </c>
      <c r="AL11" s="48">
        <f>$C$11*'Прогноз по персоналу в людях'!AF10*(1+'Ключевые метрики'!$F$3)</f>
        <v>0</v>
      </c>
      <c r="AM11" s="48">
        <f>$C$11*'Прогноз по персоналу в людях'!AG10*(1+'Ключевые метрики'!$F$3)</f>
        <v>0</v>
      </c>
      <c r="AN11" s="48">
        <f>$C$11*'Прогноз по персоналу в людях'!AH10*(1+'Ключевые метрики'!$F$3)</f>
        <v>0</v>
      </c>
      <c r="AO11" s="48">
        <f>$C$11*'Прогноз по персоналу в людях'!AI10*(1+'Ключевые метрики'!$F$3)</f>
        <v>0</v>
      </c>
      <c r="AP11" s="48">
        <f>$C$11*'Прогноз по персоналу в людях'!AJ10*(1+'Ключевые метрики'!$F$3)</f>
        <v>0</v>
      </c>
      <c r="AQ11" s="48">
        <f>$C$11*'Прогноз по персоналу в людях'!AK10*(1+'Ключевые метрики'!$F$3)</f>
        <v>0</v>
      </c>
      <c r="AR11" s="48">
        <f t="shared" si="2"/>
        <v>0</v>
      </c>
    </row>
    <row r="12" spans="1:44" x14ac:dyDescent="0.35">
      <c r="A12" s="21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</row>
    <row r="13" spans="1:44" ht="29" x14ac:dyDescent="0.35">
      <c r="A13" s="53" t="s">
        <v>102</v>
      </c>
      <c r="B13" s="59" t="s">
        <v>103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</row>
    <row r="14" spans="1:44" x14ac:dyDescent="0.35">
      <c r="A14" s="28" t="s">
        <v>114</v>
      </c>
      <c r="B14" s="48">
        <v>240000</v>
      </c>
      <c r="C14" s="48">
        <f>B14*1.15</f>
        <v>276000</v>
      </c>
      <c r="D14" s="48">
        <f>C14*0.13</f>
        <v>35880</v>
      </c>
      <c r="E14" s="48">
        <f>C14-D14</f>
        <v>240120</v>
      </c>
      <c r="F14" s="48" t="s">
        <v>100</v>
      </c>
      <c r="G14" s="48" t="s">
        <v>100</v>
      </c>
      <c r="H14" s="48" t="s">
        <v>100</v>
      </c>
      <c r="I14" s="48" t="s">
        <v>100</v>
      </c>
      <c r="J14" s="48" t="s">
        <v>100</v>
      </c>
      <c r="K14" s="48" t="s">
        <v>100</v>
      </c>
      <c r="L14" s="48" t="s">
        <v>100</v>
      </c>
      <c r="M14" s="48" t="s">
        <v>100</v>
      </c>
      <c r="N14" s="48" t="s">
        <v>100</v>
      </c>
      <c r="O14" s="48" t="s">
        <v>100</v>
      </c>
      <c r="P14" s="48" t="s">
        <v>100</v>
      </c>
      <c r="Q14" s="48">
        <f>C14*'Прогноз по персоналу в людях'!M12</f>
        <v>276000</v>
      </c>
      <c r="R14" s="48">
        <f>SUM(F14:Q14)</f>
        <v>276000</v>
      </c>
      <c r="S14" s="48" t="s">
        <v>100</v>
      </c>
      <c r="T14" s="48" t="s">
        <v>100</v>
      </c>
      <c r="U14" s="48" t="s">
        <v>100</v>
      </c>
      <c r="V14" s="48" t="s">
        <v>100</v>
      </c>
      <c r="W14" s="48" t="s">
        <v>100</v>
      </c>
      <c r="X14" s="48" t="s">
        <v>100</v>
      </c>
      <c r="Y14" s="48" t="s">
        <v>100</v>
      </c>
      <c r="Z14" s="48" t="s">
        <v>100</v>
      </c>
      <c r="AA14" s="48" t="s">
        <v>100</v>
      </c>
      <c r="AB14" s="48" t="s">
        <v>100</v>
      </c>
      <c r="AC14" s="48" t="s">
        <v>100</v>
      </c>
      <c r="AD14" s="48" t="s">
        <v>100</v>
      </c>
      <c r="AE14" s="48">
        <f t="shared" si="1"/>
        <v>0</v>
      </c>
      <c r="AF14" s="48" t="s">
        <v>100</v>
      </c>
      <c r="AG14" s="48" t="s">
        <v>100</v>
      </c>
      <c r="AH14" s="48" t="s">
        <v>100</v>
      </c>
      <c r="AI14" s="48" t="s">
        <v>100</v>
      </c>
      <c r="AJ14" s="48" t="s">
        <v>100</v>
      </c>
      <c r="AK14" s="48" t="s">
        <v>100</v>
      </c>
      <c r="AL14" s="48" t="s">
        <v>100</v>
      </c>
      <c r="AM14" s="48" t="s">
        <v>100</v>
      </c>
      <c r="AN14" s="48" t="s">
        <v>100</v>
      </c>
      <c r="AO14" s="48" t="s">
        <v>100</v>
      </c>
      <c r="AP14" s="48" t="s">
        <v>100</v>
      </c>
      <c r="AQ14" s="48" t="s">
        <v>100</v>
      </c>
      <c r="AR14" s="48">
        <f t="shared" si="2"/>
        <v>0</v>
      </c>
    </row>
    <row r="15" spans="1:44" x14ac:dyDescent="0.35">
      <c r="A15" s="21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</row>
    <row r="16" spans="1:44" x14ac:dyDescent="0.35">
      <c r="A16" s="8" t="s">
        <v>109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</row>
    <row r="17" spans="1:44" x14ac:dyDescent="0.35">
      <c r="A17" s="21" t="s">
        <v>106</v>
      </c>
      <c r="B17" s="48">
        <v>40000</v>
      </c>
      <c r="C17" s="48">
        <f t="shared" ref="C17" si="3">B17*1.15</f>
        <v>46000</v>
      </c>
      <c r="D17" s="48">
        <f>C17*0.13</f>
        <v>5980</v>
      </c>
      <c r="E17" s="48">
        <f>C17-D17</f>
        <v>40020</v>
      </c>
      <c r="F17" s="48" t="s">
        <v>100</v>
      </c>
      <c r="G17" s="48" t="s">
        <v>100</v>
      </c>
      <c r="H17" s="48" t="s">
        <v>100</v>
      </c>
      <c r="I17" s="48" t="s">
        <v>100</v>
      </c>
      <c r="J17" s="48" t="s">
        <v>100</v>
      </c>
      <c r="K17" s="48" t="s">
        <v>100</v>
      </c>
      <c r="L17" s="48" t="s">
        <v>100</v>
      </c>
      <c r="M17" s="48" t="s">
        <v>100</v>
      </c>
      <c r="N17" s="48" t="s">
        <v>100</v>
      </c>
      <c r="O17" s="48" t="s">
        <v>100</v>
      </c>
      <c r="P17" s="48" t="s">
        <v>100</v>
      </c>
      <c r="Q17" s="48" t="s">
        <v>100</v>
      </c>
      <c r="R17" s="48">
        <f t="shared" si="0"/>
        <v>0</v>
      </c>
      <c r="S17" s="48">
        <f>'Прогноз по персоналу в людях'!N14*$C$17</f>
        <v>46000</v>
      </c>
      <c r="T17" s="48">
        <f>'Прогноз по персоналу в людях'!O14*$C$17</f>
        <v>46000</v>
      </c>
      <c r="U17" s="48">
        <f>'Прогноз по персоналу в людях'!P14*$C$17</f>
        <v>46000</v>
      </c>
      <c r="V17" s="48">
        <f>'Прогноз по персоналу в людях'!Q14*$C$17</f>
        <v>46000</v>
      </c>
      <c r="W17" s="48">
        <f>'Прогноз по персоналу в людях'!R14*$C$17</f>
        <v>46000</v>
      </c>
      <c r="X17" s="48">
        <f>'Прогноз по персоналу в людях'!S14*$C$17</f>
        <v>46000</v>
      </c>
      <c r="Y17" s="48">
        <f>'Прогноз по персоналу в людях'!T14*$C$17</f>
        <v>46000</v>
      </c>
      <c r="Z17" s="48">
        <f>'Прогноз по персоналу в людях'!U14*$C$17</f>
        <v>46000</v>
      </c>
      <c r="AA17" s="48">
        <f>'Прогноз по персоналу в людях'!V14*$C$17</f>
        <v>46000</v>
      </c>
      <c r="AB17" s="48">
        <f>'Прогноз по персоналу в людях'!W14*$C$17</f>
        <v>46000</v>
      </c>
      <c r="AC17" s="48">
        <f>'Прогноз по персоналу в людях'!X14*$C$17</f>
        <v>46000</v>
      </c>
      <c r="AD17" s="48">
        <f>'Прогноз по персоналу в людях'!Y14*$C$17</f>
        <v>46000</v>
      </c>
      <c r="AE17" s="48">
        <f t="shared" si="1"/>
        <v>552000</v>
      </c>
      <c r="AF17" s="48" t="s">
        <v>100</v>
      </c>
      <c r="AG17" s="48" t="s">
        <v>100</v>
      </c>
      <c r="AH17" s="48" t="s">
        <v>100</v>
      </c>
      <c r="AI17" s="48" t="s">
        <v>100</v>
      </c>
      <c r="AJ17" s="48" t="s">
        <v>100</v>
      </c>
      <c r="AK17" s="48" t="s">
        <v>100</v>
      </c>
      <c r="AL17" s="48" t="s">
        <v>100</v>
      </c>
      <c r="AM17" s="48" t="s">
        <v>100</v>
      </c>
      <c r="AN17" s="48" t="s">
        <v>100</v>
      </c>
      <c r="AO17" s="48" t="s">
        <v>100</v>
      </c>
      <c r="AP17" s="48" t="s">
        <v>100</v>
      </c>
      <c r="AQ17" s="48" t="s">
        <v>100</v>
      </c>
      <c r="AR17" s="48">
        <f t="shared" si="2"/>
        <v>0</v>
      </c>
    </row>
    <row r="18" spans="1:44" x14ac:dyDescent="0.35">
      <c r="A18" s="21" t="s">
        <v>108</v>
      </c>
      <c r="B18" s="48">
        <v>40000</v>
      </c>
      <c r="C18" s="48">
        <f t="shared" ref="C18" si="4">B18*1.15</f>
        <v>46000</v>
      </c>
      <c r="D18" s="48">
        <f t="shared" ref="D18:D19" si="5">C18*0.13</f>
        <v>5980</v>
      </c>
      <c r="E18" s="48">
        <f t="shared" ref="E18:E19" si="6">C18-D18</f>
        <v>40020</v>
      </c>
      <c r="F18" s="48" t="s">
        <v>100</v>
      </c>
      <c r="G18" s="48" t="s">
        <v>100</v>
      </c>
      <c r="H18" s="48" t="s">
        <v>100</v>
      </c>
      <c r="I18" s="48" t="s">
        <v>100</v>
      </c>
      <c r="J18" s="48" t="s">
        <v>100</v>
      </c>
      <c r="K18" s="48" t="s">
        <v>100</v>
      </c>
      <c r="L18" s="48" t="s">
        <v>100</v>
      </c>
      <c r="M18" s="48" t="s">
        <v>100</v>
      </c>
      <c r="N18" s="48" t="s">
        <v>100</v>
      </c>
      <c r="O18" s="48" t="s">
        <v>100</v>
      </c>
      <c r="P18" s="48" t="s">
        <v>100</v>
      </c>
      <c r="Q18" s="48" t="s">
        <v>100</v>
      </c>
      <c r="R18" s="48">
        <f t="shared" si="0"/>
        <v>0</v>
      </c>
      <c r="S18" s="48" t="s">
        <v>100</v>
      </c>
      <c r="T18" s="48" t="s">
        <v>100</v>
      </c>
      <c r="U18" s="48" t="s">
        <v>100</v>
      </c>
      <c r="V18" s="48" t="s">
        <v>100</v>
      </c>
      <c r="W18" s="48" t="s">
        <v>100</v>
      </c>
      <c r="X18" s="48" t="s">
        <v>100</v>
      </c>
      <c r="Y18" s="48">
        <f>'Прогноз по персоналу в людях'!T15*$C$18</f>
        <v>46000</v>
      </c>
      <c r="Z18" s="48">
        <f>'Прогноз по персоналу в людях'!U15*$C$18</f>
        <v>46000</v>
      </c>
      <c r="AA18" s="48">
        <f>'Прогноз по персоналу в людях'!V15*$C$18</f>
        <v>46000</v>
      </c>
      <c r="AB18" s="48">
        <f>'Прогноз по персоналу в людях'!W15*$C$18</f>
        <v>46000</v>
      </c>
      <c r="AC18" s="48">
        <f>'Прогноз по персоналу в людях'!X15*$C$18</f>
        <v>46000</v>
      </c>
      <c r="AD18" s="48">
        <f>'Прогноз по персоналу в людях'!Y15*$C$18</f>
        <v>46000</v>
      </c>
      <c r="AE18" s="48">
        <f t="shared" si="1"/>
        <v>276000</v>
      </c>
      <c r="AF18" s="48">
        <f>$C$18*'Прогноз по персоналу в людях'!Z15*(1+'Ключевые метрики'!$F$3)</f>
        <v>98550.399999999994</v>
      </c>
      <c r="AG18" s="48">
        <f>$C$18*'Прогноз по персоналу в людях'!AA15*(1+'Ключевые метрики'!$F$3)</f>
        <v>98550.399999999994</v>
      </c>
      <c r="AH18" s="48">
        <f>$C$18*'Прогноз по персоналу в людях'!AB15*(1+'Ключевые метрики'!$F$3)</f>
        <v>98550.399999999994</v>
      </c>
      <c r="AI18" s="48">
        <f>$C$18*'Прогноз по персоналу в людях'!AC15*(1+'Ключевые метрики'!$F$3)</f>
        <v>98550.399999999994</v>
      </c>
      <c r="AJ18" s="48">
        <f>$C$18*'Прогноз по персоналу в людях'!AD15*(1+'Ключевые метрики'!$F$3)</f>
        <v>98550.399999999994</v>
      </c>
      <c r="AK18" s="48">
        <f>$C$18*'Прогноз по персоналу в людях'!AE15*(1+'Ключевые метрики'!$F$3)</f>
        <v>98550.399999999994</v>
      </c>
      <c r="AL18" s="48">
        <f>$C$18*'Прогноз по персоналу в людях'!AF15*(1+'Ключевые метрики'!$F$3)</f>
        <v>98550.399999999994</v>
      </c>
      <c r="AM18" s="48">
        <f>$C$18*'Прогноз по персоналу в людях'!AG15*(1+'Ключевые метрики'!$F$3)</f>
        <v>98550.399999999994</v>
      </c>
      <c r="AN18" s="48">
        <f>$C$18*'Прогноз по персоналу в людях'!AH15*(1+'Ключевые метрики'!$F$3)</f>
        <v>98550.399999999994</v>
      </c>
      <c r="AO18" s="48">
        <f>$C$18*'Прогноз по персоналу в людях'!AI15*(1+'Ключевые метрики'!$F$3)</f>
        <v>98550.399999999994</v>
      </c>
      <c r="AP18" s="48">
        <f>$C$18*'Прогноз по персоналу в людях'!AJ15*(1+'Ключевые метрики'!$F$3)</f>
        <v>98550.399999999994</v>
      </c>
      <c r="AQ18" s="48">
        <f>$C$18*'Прогноз по персоналу в людях'!AK15*(1+'Ключевые метрики'!$F$3)</f>
        <v>98550.399999999994</v>
      </c>
      <c r="AR18" s="48">
        <f>SUM(AF18:AQ18)</f>
        <v>1182604.8</v>
      </c>
    </row>
    <row r="19" spans="1:44" x14ac:dyDescent="0.35">
      <c r="A19" s="21" t="s">
        <v>112</v>
      </c>
      <c r="B19" s="48">
        <v>50000</v>
      </c>
      <c r="C19" s="48">
        <f t="shared" ref="C19" si="7">B19*1.15</f>
        <v>57499.999999999993</v>
      </c>
      <c r="D19" s="48">
        <f t="shared" si="5"/>
        <v>7474.9999999999991</v>
      </c>
      <c r="E19" s="48">
        <f t="shared" si="6"/>
        <v>50024.999999999993</v>
      </c>
      <c r="F19" s="48" t="s">
        <v>100</v>
      </c>
      <c r="G19" s="48" t="s">
        <v>100</v>
      </c>
      <c r="H19" s="48" t="s">
        <v>100</v>
      </c>
      <c r="I19" s="48" t="s">
        <v>100</v>
      </c>
      <c r="J19" s="48" t="s">
        <v>100</v>
      </c>
      <c r="K19" s="48" t="s">
        <v>100</v>
      </c>
      <c r="L19" s="48" t="s">
        <v>100</v>
      </c>
      <c r="M19" s="48" t="s">
        <v>100</v>
      </c>
      <c r="N19" s="48" t="s">
        <v>100</v>
      </c>
      <c r="O19" s="48" t="s">
        <v>100</v>
      </c>
      <c r="P19" s="48" t="s">
        <v>100</v>
      </c>
      <c r="Q19" s="48" t="s">
        <v>100</v>
      </c>
      <c r="R19" s="48">
        <f t="shared" si="0"/>
        <v>0</v>
      </c>
      <c r="S19" s="48">
        <f>'Прогноз по персоналу в людях'!N16*$C$19</f>
        <v>57499.999999999993</v>
      </c>
      <c r="T19" s="48">
        <f>'Прогноз по персоналу в людях'!O16*$C$19</f>
        <v>57499.999999999993</v>
      </c>
      <c r="U19" s="48">
        <f>'Прогноз по персоналу в людях'!P16*$C$19</f>
        <v>57499.999999999993</v>
      </c>
      <c r="V19" s="48">
        <f>'Прогноз по персоналу в людях'!Q16*$C$19</f>
        <v>57499.999999999993</v>
      </c>
      <c r="W19" s="48">
        <f>'Прогноз по персоналу в людях'!R16*$C$19</f>
        <v>57499.999999999993</v>
      </c>
      <c r="X19" s="48">
        <f>'Прогноз по персоналу в людях'!S16*$C$19</f>
        <v>57499.999999999993</v>
      </c>
      <c r="Y19" s="48">
        <f>'Прогноз по персоналу в людях'!T16*$C$19</f>
        <v>57499.999999999993</v>
      </c>
      <c r="Z19" s="48">
        <f>'Прогноз по персоналу в людях'!U16*$C$19</f>
        <v>57499.999999999993</v>
      </c>
      <c r="AA19" s="48">
        <f>'Прогноз по персоналу в людях'!V16*$C$19</f>
        <v>57499.999999999993</v>
      </c>
      <c r="AB19" s="48">
        <f>'Прогноз по персоналу в людях'!W16*$C$19</f>
        <v>57499.999999999993</v>
      </c>
      <c r="AC19" s="48">
        <f>'Прогноз по персоналу в людях'!X16*$C$19</f>
        <v>57499.999999999993</v>
      </c>
      <c r="AD19" s="48">
        <f>'Прогноз по персоналу в людях'!Y16*$C$19</f>
        <v>57499.999999999993</v>
      </c>
      <c r="AE19" s="48">
        <f t="shared" si="1"/>
        <v>689999.99999999988</v>
      </c>
      <c r="AF19" s="48" t="s">
        <v>100</v>
      </c>
      <c r="AG19" s="48" t="s">
        <v>100</v>
      </c>
      <c r="AH19" s="48" t="s">
        <v>100</v>
      </c>
      <c r="AI19" s="48" t="s">
        <v>100</v>
      </c>
      <c r="AJ19" s="48" t="s">
        <v>100</v>
      </c>
      <c r="AK19" s="48" t="s">
        <v>100</v>
      </c>
      <c r="AL19" s="48" t="s">
        <v>100</v>
      </c>
      <c r="AM19" s="48" t="s">
        <v>100</v>
      </c>
      <c r="AN19" s="48" t="s">
        <v>100</v>
      </c>
      <c r="AO19" s="48" t="s">
        <v>100</v>
      </c>
      <c r="AP19" s="48" t="s">
        <v>100</v>
      </c>
      <c r="AQ19" s="48" t="s">
        <v>100</v>
      </c>
      <c r="AR19" s="48">
        <f t="shared" si="2"/>
        <v>0</v>
      </c>
    </row>
    <row r="20" spans="1:44" x14ac:dyDescent="0.35">
      <c r="A20" s="1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</row>
    <row r="21" spans="1:44" x14ac:dyDescent="0.35">
      <c r="A21" s="8" t="s">
        <v>39</v>
      </c>
      <c r="B21" s="48"/>
      <c r="C21" s="48"/>
      <c r="D21" s="48"/>
      <c r="E21" s="48"/>
      <c r="F21" s="48">
        <f>SUM(F4:F19)</f>
        <v>151800</v>
      </c>
      <c r="G21" s="48">
        <f t="shared" ref="G21:Q21" si="8">SUM(G4:G19)</f>
        <v>151800</v>
      </c>
      <c r="H21" s="48">
        <f t="shared" si="8"/>
        <v>151800</v>
      </c>
      <c r="I21" s="48">
        <f t="shared" si="8"/>
        <v>151800</v>
      </c>
      <c r="J21" s="48">
        <f t="shared" si="8"/>
        <v>151800</v>
      </c>
      <c r="K21" s="48">
        <f t="shared" si="8"/>
        <v>119599.99999999999</v>
      </c>
      <c r="L21" s="48">
        <f t="shared" si="8"/>
        <v>119599.99999999999</v>
      </c>
      <c r="M21" s="48">
        <f t="shared" si="8"/>
        <v>119599.99999999999</v>
      </c>
      <c r="N21" s="48">
        <f t="shared" si="8"/>
        <v>151800</v>
      </c>
      <c r="O21" s="48">
        <f t="shared" si="8"/>
        <v>119599.99999999999</v>
      </c>
      <c r="P21" s="48">
        <f t="shared" si="8"/>
        <v>119599.99999999999</v>
      </c>
      <c r="Q21" s="48">
        <f t="shared" si="8"/>
        <v>395600</v>
      </c>
      <c r="R21" s="48">
        <f>SUM(F21:Q21)</f>
        <v>1904400</v>
      </c>
      <c r="S21" s="48">
        <f>SUM(S4:S19)</f>
        <v>226296.99999999997</v>
      </c>
      <c r="T21" s="48">
        <f t="shared" ref="T21:AC21" si="9">SUM(T4:T19)</f>
        <v>226296.99999999997</v>
      </c>
      <c r="U21" s="48">
        <f t="shared" si="9"/>
        <v>226296.99999999997</v>
      </c>
      <c r="V21" s="48">
        <f t="shared" si="9"/>
        <v>226296.99999999997</v>
      </c>
      <c r="W21" s="48">
        <f t="shared" si="9"/>
        <v>226296.99999999997</v>
      </c>
      <c r="X21" s="48">
        <f t="shared" si="9"/>
        <v>226296.99999999997</v>
      </c>
      <c r="Y21" s="48">
        <f t="shared" si="9"/>
        <v>303093.99999999994</v>
      </c>
      <c r="Z21" s="48">
        <f t="shared" si="9"/>
        <v>303093.99999999994</v>
      </c>
      <c r="AA21" s="48">
        <f t="shared" si="9"/>
        <v>303093.99999999994</v>
      </c>
      <c r="AB21" s="48">
        <f t="shared" si="9"/>
        <v>303093.99999999994</v>
      </c>
      <c r="AC21" s="48">
        <f t="shared" si="9"/>
        <v>303093.99999999994</v>
      </c>
      <c r="AD21" s="48">
        <f>SUM(AD4:AD19)</f>
        <v>303093.99999999994</v>
      </c>
      <c r="AE21" s="48">
        <f>SUM(S21:AD21)</f>
        <v>3176345.9999999995</v>
      </c>
      <c r="AF21" s="48">
        <f>SUM(AF4:AF19)</f>
        <v>263080.29279999994</v>
      </c>
      <c r="AG21" s="48">
        <f t="shared" ref="AG21:AO21" si="10">SUM(AG4:AG19)</f>
        <v>263080.29279999994</v>
      </c>
      <c r="AH21" s="48">
        <f t="shared" si="10"/>
        <v>263080.29279999994</v>
      </c>
      <c r="AI21" s="48">
        <f t="shared" si="10"/>
        <v>263080.29279999994</v>
      </c>
      <c r="AJ21" s="48">
        <f t="shared" si="10"/>
        <v>263080.29279999994</v>
      </c>
      <c r="AK21" s="48">
        <f t="shared" si="10"/>
        <v>263080.29279999994</v>
      </c>
      <c r="AL21" s="48">
        <f t="shared" si="10"/>
        <v>263080.29279999994</v>
      </c>
      <c r="AM21" s="48">
        <f t="shared" si="10"/>
        <v>263080.29279999994</v>
      </c>
      <c r="AN21" s="48">
        <f t="shared" si="10"/>
        <v>263080.29279999994</v>
      </c>
      <c r="AO21" s="48">
        <f t="shared" si="10"/>
        <v>263080.29279999994</v>
      </c>
      <c r="AP21" s="48">
        <f>SUM(AP4:AP19)</f>
        <v>263080.29279999994</v>
      </c>
      <c r="AQ21" s="48">
        <f>SUM(AQ4:AQ19)</f>
        <v>263080.29279999994</v>
      </c>
      <c r="AR21" s="48">
        <f>SUM(AF21:AQ21)</f>
        <v>3156963.5135999992</v>
      </c>
    </row>
    <row r="22" spans="1:44" x14ac:dyDescent="0.35">
      <c r="A22" s="1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</row>
    <row r="23" spans="1:44" x14ac:dyDescent="0.35">
      <c r="A23" s="8" t="s">
        <v>40</v>
      </c>
      <c r="B23" s="48"/>
      <c r="C23" s="48"/>
      <c r="D23" s="48"/>
      <c r="E23" s="48"/>
      <c r="F23" s="48">
        <f>F21*0.13</f>
        <v>19734</v>
      </c>
      <c r="G23" s="48">
        <f t="shared" ref="G23:S23" si="11">G21*0.13</f>
        <v>19734</v>
      </c>
      <c r="H23" s="48">
        <f t="shared" si="11"/>
        <v>19734</v>
      </c>
      <c r="I23" s="48">
        <f t="shared" si="11"/>
        <v>19734</v>
      </c>
      <c r="J23" s="48">
        <f t="shared" si="11"/>
        <v>19734</v>
      </c>
      <c r="K23" s="48">
        <f t="shared" si="11"/>
        <v>15547.999999999998</v>
      </c>
      <c r="L23" s="48">
        <f t="shared" si="11"/>
        <v>15547.999999999998</v>
      </c>
      <c r="M23" s="48">
        <f t="shared" si="11"/>
        <v>15547.999999999998</v>
      </c>
      <c r="N23" s="48">
        <f t="shared" si="11"/>
        <v>19734</v>
      </c>
      <c r="O23" s="48">
        <f t="shared" si="11"/>
        <v>15547.999999999998</v>
      </c>
      <c r="P23" s="48">
        <f t="shared" si="11"/>
        <v>15547.999999999998</v>
      </c>
      <c r="Q23" s="48">
        <f>Q21*0.13</f>
        <v>51428</v>
      </c>
      <c r="R23" s="48">
        <f t="shared" si="0"/>
        <v>247572</v>
      </c>
      <c r="S23" s="48">
        <f t="shared" si="11"/>
        <v>29418.609999999997</v>
      </c>
      <c r="T23" s="48">
        <f>T21*0.13</f>
        <v>29418.609999999997</v>
      </c>
      <c r="U23" s="48">
        <f t="shared" ref="U23:AQ23" si="12">U21*0.13</f>
        <v>29418.609999999997</v>
      </c>
      <c r="V23" s="48">
        <f t="shared" si="12"/>
        <v>29418.609999999997</v>
      </c>
      <c r="W23" s="48">
        <f t="shared" si="12"/>
        <v>29418.609999999997</v>
      </c>
      <c r="X23" s="48">
        <f t="shared" si="12"/>
        <v>29418.609999999997</v>
      </c>
      <c r="Y23" s="48">
        <f t="shared" si="12"/>
        <v>39402.219999999994</v>
      </c>
      <c r="Z23" s="48">
        <f t="shared" si="12"/>
        <v>39402.219999999994</v>
      </c>
      <c r="AA23" s="48">
        <f t="shared" si="12"/>
        <v>39402.219999999994</v>
      </c>
      <c r="AB23" s="48">
        <f t="shared" si="12"/>
        <v>39402.219999999994</v>
      </c>
      <c r="AC23" s="48">
        <f t="shared" si="12"/>
        <v>39402.219999999994</v>
      </c>
      <c r="AD23" s="48">
        <f t="shared" si="12"/>
        <v>39402.219999999994</v>
      </c>
      <c r="AE23" s="48">
        <f t="shared" si="1"/>
        <v>412924.97999999986</v>
      </c>
      <c r="AF23" s="48">
        <f t="shared" si="12"/>
        <v>34200.438063999994</v>
      </c>
      <c r="AG23" s="48">
        <f t="shared" si="12"/>
        <v>34200.438063999994</v>
      </c>
      <c r="AH23" s="48">
        <f t="shared" si="12"/>
        <v>34200.438063999994</v>
      </c>
      <c r="AI23" s="48">
        <f t="shared" si="12"/>
        <v>34200.438063999994</v>
      </c>
      <c r="AJ23" s="48">
        <f t="shared" si="12"/>
        <v>34200.438063999994</v>
      </c>
      <c r="AK23" s="48">
        <f t="shared" si="12"/>
        <v>34200.438063999994</v>
      </c>
      <c r="AL23" s="48">
        <f t="shared" si="12"/>
        <v>34200.438063999994</v>
      </c>
      <c r="AM23" s="48">
        <f t="shared" si="12"/>
        <v>34200.438063999994</v>
      </c>
      <c r="AN23" s="48">
        <f t="shared" si="12"/>
        <v>34200.438063999994</v>
      </c>
      <c r="AO23" s="48">
        <f t="shared" si="12"/>
        <v>34200.438063999994</v>
      </c>
      <c r="AP23" s="48">
        <f t="shared" si="12"/>
        <v>34200.438063999994</v>
      </c>
      <c r="AQ23" s="48">
        <f t="shared" si="12"/>
        <v>34200.438063999994</v>
      </c>
      <c r="AR23" s="48">
        <f t="shared" si="2"/>
        <v>410405.2567679999</v>
      </c>
    </row>
    <row r="24" spans="1:44" x14ac:dyDescent="0.35">
      <c r="A24" s="8" t="s">
        <v>41</v>
      </c>
      <c r="B24" s="48"/>
      <c r="C24" s="48"/>
      <c r="D24" s="48"/>
      <c r="E24" s="48"/>
      <c r="F24" s="48">
        <f>F21-F23</f>
        <v>132066</v>
      </c>
      <c r="G24" s="48">
        <f t="shared" ref="G24:T24" si="13">G21-G23</f>
        <v>132066</v>
      </c>
      <c r="H24" s="48">
        <f t="shared" si="13"/>
        <v>132066</v>
      </c>
      <c r="I24" s="48">
        <f t="shared" si="13"/>
        <v>132066</v>
      </c>
      <c r="J24" s="48">
        <f t="shared" si="13"/>
        <v>132066</v>
      </c>
      <c r="K24" s="48">
        <f t="shared" si="13"/>
        <v>104051.99999999999</v>
      </c>
      <c r="L24" s="48">
        <f t="shared" si="13"/>
        <v>104051.99999999999</v>
      </c>
      <c r="M24" s="48">
        <f t="shared" si="13"/>
        <v>104051.99999999999</v>
      </c>
      <c r="N24" s="48">
        <f t="shared" si="13"/>
        <v>132066</v>
      </c>
      <c r="O24" s="48">
        <f t="shared" si="13"/>
        <v>104051.99999999999</v>
      </c>
      <c r="P24" s="48">
        <f t="shared" si="13"/>
        <v>104051.99999999999</v>
      </c>
      <c r="Q24" s="48">
        <f t="shared" si="13"/>
        <v>344172</v>
      </c>
      <c r="R24" s="48">
        <f t="shared" si="0"/>
        <v>1656828</v>
      </c>
      <c r="S24" s="48">
        <f t="shared" si="13"/>
        <v>196878.38999999998</v>
      </c>
      <c r="T24" s="48">
        <f t="shared" si="13"/>
        <v>196878.38999999998</v>
      </c>
      <c r="U24" s="48">
        <f t="shared" ref="U24" si="14">U21-U23</f>
        <v>196878.38999999998</v>
      </c>
      <c r="V24" s="48">
        <f t="shared" ref="V24" si="15">V21-V23</f>
        <v>196878.38999999998</v>
      </c>
      <c r="W24" s="48">
        <f t="shared" ref="W24" si="16">W21-W23</f>
        <v>196878.38999999998</v>
      </c>
      <c r="X24" s="48">
        <f t="shared" ref="X24" si="17">X21-X23</f>
        <v>196878.38999999998</v>
      </c>
      <c r="Y24" s="48">
        <f t="shared" ref="Y24" si="18">Y21-Y23</f>
        <v>263691.77999999997</v>
      </c>
      <c r="Z24" s="48">
        <f t="shared" ref="Z24" si="19">Z21-Z23</f>
        <v>263691.77999999997</v>
      </c>
      <c r="AA24" s="48">
        <f t="shared" ref="AA24" si="20">AA21-AA23</f>
        <v>263691.77999999997</v>
      </c>
      <c r="AB24" s="48">
        <f t="shared" ref="AB24" si="21">AB21-AB23</f>
        <v>263691.77999999997</v>
      </c>
      <c r="AC24" s="48">
        <f t="shared" ref="AC24" si="22">AC21-AC23</f>
        <v>263691.77999999997</v>
      </c>
      <c r="AD24" s="48">
        <f t="shared" ref="AD24" si="23">AD21-AD23</f>
        <v>263691.77999999997</v>
      </c>
      <c r="AE24" s="48">
        <f t="shared" si="1"/>
        <v>2763421.0199999996</v>
      </c>
      <c r="AF24" s="48">
        <f t="shared" ref="AF24" si="24">AF21-AF23</f>
        <v>228879.85473599995</v>
      </c>
      <c r="AG24" s="48">
        <f t="shared" ref="AG24" si="25">AG21-AG23</f>
        <v>228879.85473599995</v>
      </c>
      <c r="AH24" s="48">
        <f t="shared" ref="AH24" si="26">AH21-AH23</f>
        <v>228879.85473599995</v>
      </c>
      <c r="AI24" s="48">
        <f t="shared" ref="AI24" si="27">AI21-AI23</f>
        <v>228879.85473599995</v>
      </c>
      <c r="AJ24" s="48">
        <f t="shared" ref="AJ24" si="28">AJ21-AJ23</f>
        <v>228879.85473599995</v>
      </c>
      <c r="AK24" s="48">
        <f t="shared" ref="AK24" si="29">AK21-AK23</f>
        <v>228879.85473599995</v>
      </c>
      <c r="AL24" s="48">
        <f t="shared" ref="AL24" si="30">AL21-AL23</f>
        <v>228879.85473599995</v>
      </c>
      <c r="AM24" s="48">
        <f t="shared" ref="AM24" si="31">AM21-AM23</f>
        <v>228879.85473599995</v>
      </c>
      <c r="AN24" s="48">
        <f t="shared" ref="AN24" si="32">AN21-AN23</f>
        <v>228879.85473599995</v>
      </c>
      <c r="AO24" s="48">
        <f t="shared" ref="AO24" si="33">AO21-AO23</f>
        <v>228879.85473599995</v>
      </c>
      <c r="AP24" s="48">
        <f t="shared" ref="AP24" si="34">AP21-AP23</f>
        <v>228879.85473599995</v>
      </c>
      <c r="AQ24" s="48">
        <f t="shared" ref="AQ24" si="35">AQ21-AQ23</f>
        <v>228879.85473599995</v>
      </c>
      <c r="AR24" s="48">
        <f t="shared" si="2"/>
        <v>2746558.2568319985</v>
      </c>
    </row>
    <row r="25" spans="1:44" x14ac:dyDescent="0.35">
      <c r="A25" s="1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</row>
    <row r="26" spans="1:44" ht="29" x14ac:dyDescent="0.35">
      <c r="A26" s="10" t="s">
        <v>42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</row>
    <row r="27" spans="1:44" x14ac:dyDescent="0.35">
      <c r="A27" s="9" t="s">
        <v>43</v>
      </c>
      <c r="B27" s="48"/>
      <c r="C27" s="48"/>
      <c r="D27" s="48"/>
      <c r="E27" s="48"/>
      <c r="F27" s="48">
        <f>F21*0.22</f>
        <v>33396</v>
      </c>
      <c r="G27" s="48">
        <f t="shared" ref="G27:AP27" si="36">G21*0.22</f>
        <v>33396</v>
      </c>
      <c r="H27" s="48">
        <f t="shared" si="36"/>
        <v>33396</v>
      </c>
      <c r="I27" s="48">
        <f t="shared" si="36"/>
        <v>33396</v>
      </c>
      <c r="J27" s="48">
        <f t="shared" si="36"/>
        <v>33396</v>
      </c>
      <c r="K27" s="48">
        <f t="shared" si="36"/>
        <v>26311.999999999996</v>
      </c>
      <c r="L27" s="48">
        <f t="shared" si="36"/>
        <v>26311.999999999996</v>
      </c>
      <c r="M27" s="48">
        <f t="shared" si="36"/>
        <v>26311.999999999996</v>
      </c>
      <c r="N27" s="48">
        <f t="shared" si="36"/>
        <v>33396</v>
      </c>
      <c r="O27" s="48">
        <f t="shared" si="36"/>
        <v>26311.999999999996</v>
      </c>
      <c r="P27" s="48">
        <f t="shared" si="36"/>
        <v>26311.999999999996</v>
      </c>
      <c r="Q27" s="48">
        <f t="shared" si="36"/>
        <v>87032</v>
      </c>
      <c r="R27" s="48">
        <f t="shared" ref="R27:R32" si="37">SUM(F27:Q27)</f>
        <v>418968</v>
      </c>
      <c r="S27" s="48">
        <f t="shared" si="36"/>
        <v>49785.34</v>
      </c>
      <c r="T27" s="48">
        <f t="shared" si="36"/>
        <v>49785.34</v>
      </c>
      <c r="U27" s="48">
        <f t="shared" si="36"/>
        <v>49785.34</v>
      </c>
      <c r="V27" s="48">
        <f t="shared" si="36"/>
        <v>49785.34</v>
      </c>
      <c r="W27" s="48">
        <f t="shared" si="36"/>
        <v>49785.34</v>
      </c>
      <c r="X27" s="48">
        <f t="shared" si="36"/>
        <v>49785.34</v>
      </c>
      <c r="Y27" s="48">
        <f t="shared" si="36"/>
        <v>66680.679999999993</v>
      </c>
      <c r="Z27" s="48">
        <f t="shared" si="36"/>
        <v>66680.679999999993</v>
      </c>
      <c r="AA27" s="48">
        <f t="shared" si="36"/>
        <v>66680.679999999993</v>
      </c>
      <c r="AB27" s="48">
        <f t="shared" si="36"/>
        <v>66680.679999999993</v>
      </c>
      <c r="AC27" s="48">
        <f t="shared" si="36"/>
        <v>66680.679999999993</v>
      </c>
      <c r="AD27" s="48">
        <f t="shared" si="36"/>
        <v>66680.679999999993</v>
      </c>
      <c r="AE27" s="48">
        <f t="shared" ref="AE27:AE32" si="38">SUM(S27:AD27)</f>
        <v>698796.11999999988</v>
      </c>
      <c r="AF27" s="48">
        <f t="shared" si="36"/>
        <v>57877.664415999985</v>
      </c>
      <c r="AG27" s="48">
        <f t="shared" si="36"/>
        <v>57877.664415999985</v>
      </c>
      <c r="AH27" s="48">
        <f t="shared" si="36"/>
        <v>57877.664415999985</v>
      </c>
      <c r="AI27" s="48">
        <f t="shared" si="36"/>
        <v>57877.664415999985</v>
      </c>
      <c r="AJ27" s="48">
        <f t="shared" si="36"/>
        <v>57877.664415999985</v>
      </c>
      <c r="AK27" s="48">
        <f t="shared" si="36"/>
        <v>57877.664415999985</v>
      </c>
      <c r="AL27" s="48">
        <f t="shared" si="36"/>
        <v>57877.664415999985</v>
      </c>
      <c r="AM27" s="48">
        <f t="shared" si="36"/>
        <v>57877.664415999985</v>
      </c>
      <c r="AN27" s="48">
        <f t="shared" si="36"/>
        <v>57877.664415999985</v>
      </c>
      <c r="AO27" s="48">
        <f t="shared" si="36"/>
        <v>57877.664415999985</v>
      </c>
      <c r="AP27" s="48">
        <f t="shared" si="36"/>
        <v>57877.664415999985</v>
      </c>
      <c r="AQ27" s="48">
        <f>AQ21*0.22</f>
        <v>57877.664415999985</v>
      </c>
      <c r="AR27" s="48">
        <f t="shared" ref="AR27:AR32" si="39">SUM(AF27:AQ27)</f>
        <v>694531.97299200005</v>
      </c>
    </row>
    <row r="28" spans="1:44" x14ac:dyDescent="0.35">
      <c r="A28" s="9" t="s">
        <v>44</v>
      </c>
      <c r="B28" s="48"/>
      <c r="C28" s="48"/>
      <c r="D28" s="48"/>
      <c r="E28" s="48"/>
      <c r="F28" s="48">
        <f>F21*0.029</f>
        <v>4402.2</v>
      </c>
      <c r="G28" s="48">
        <f t="shared" ref="G28:AQ28" si="40">G21*0.029</f>
        <v>4402.2</v>
      </c>
      <c r="H28" s="48">
        <f t="shared" si="40"/>
        <v>4402.2</v>
      </c>
      <c r="I28" s="48">
        <f t="shared" si="40"/>
        <v>4402.2</v>
      </c>
      <c r="J28" s="48">
        <f t="shared" si="40"/>
        <v>4402.2</v>
      </c>
      <c r="K28" s="48">
        <f t="shared" si="40"/>
        <v>3468.3999999999996</v>
      </c>
      <c r="L28" s="48">
        <f t="shared" si="40"/>
        <v>3468.3999999999996</v>
      </c>
      <c r="M28" s="48">
        <f t="shared" si="40"/>
        <v>3468.3999999999996</v>
      </c>
      <c r="N28" s="48">
        <f t="shared" si="40"/>
        <v>4402.2</v>
      </c>
      <c r="O28" s="48">
        <f t="shared" si="40"/>
        <v>3468.3999999999996</v>
      </c>
      <c r="P28" s="48">
        <f t="shared" si="40"/>
        <v>3468.3999999999996</v>
      </c>
      <c r="Q28" s="48">
        <f t="shared" si="40"/>
        <v>11472.400000000001</v>
      </c>
      <c r="R28" s="48">
        <f t="shared" si="37"/>
        <v>55227.600000000006</v>
      </c>
      <c r="S28" s="48">
        <f t="shared" si="40"/>
        <v>6562.6129999999994</v>
      </c>
      <c r="T28" s="48">
        <f t="shared" si="40"/>
        <v>6562.6129999999994</v>
      </c>
      <c r="U28" s="48">
        <f t="shared" si="40"/>
        <v>6562.6129999999994</v>
      </c>
      <c r="V28" s="48">
        <f t="shared" si="40"/>
        <v>6562.6129999999994</v>
      </c>
      <c r="W28" s="48">
        <f t="shared" si="40"/>
        <v>6562.6129999999994</v>
      </c>
      <c r="X28" s="48">
        <f t="shared" si="40"/>
        <v>6562.6129999999994</v>
      </c>
      <c r="Y28" s="48">
        <f t="shared" si="40"/>
        <v>8789.7259999999987</v>
      </c>
      <c r="Z28" s="48">
        <f t="shared" si="40"/>
        <v>8789.7259999999987</v>
      </c>
      <c r="AA28" s="48">
        <f t="shared" si="40"/>
        <v>8789.7259999999987</v>
      </c>
      <c r="AB28" s="48">
        <f t="shared" si="40"/>
        <v>8789.7259999999987</v>
      </c>
      <c r="AC28" s="48">
        <f t="shared" si="40"/>
        <v>8789.7259999999987</v>
      </c>
      <c r="AD28" s="48">
        <f t="shared" si="40"/>
        <v>8789.7259999999987</v>
      </c>
      <c r="AE28" s="48">
        <f t="shared" si="38"/>
        <v>92114.033999999971</v>
      </c>
      <c r="AF28" s="48">
        <f t="shared" si="40"/>
        <v>7629.328491199999</v>
      </c>
      <c r="AG28" s="48">
        <f t="shared" si="40"/>
        <v>7629.328491199999</v>
      </c>
      <c r="AH28" s="48">
        <f t="shared" si="40"/>
        <v>7629.328491199999</v>
      </c>
      <c r="AI28" s="48">
        <f t="shared" si="40"/>
        <v>7629.328491199999</v>
      </c>
      <c r="AJ28" s="48">
        <f t="shared" si="40"/>
        <v>7629.328491199999</v>
      </c>
      <c r="AK28" s="48">
        <f t="shared" si="40"/>
        <v>7629.328491199999</v>
      </c>
      <c r="AL28" s="48">
        <f t="shared" si="40"/>
        <v>7629.328491199999</v>
      </c>
      <c r="AM28" s="48">
        <f t="shared" si="40"/>
        <v>7629.328491199999</v>
      </c>
      <c r="AN28" s="48">
        <f t="shared" si="40"/>
        <v>7629.328491199999</v>
      </c>
      <c r="AO28" s="48">
        <f t="shared" si="40"/>
        <v>7629.328491199999</v>
      </c>
      <c r="AP28" s="48">
        <f t="shared" si="40"/>
        <v>7629.328491199999</v>
      </c>
      <c r="AQ28" s="48">
        <f t="shared" si="40"/>
        <v>7629.328491199999</v>
      </c>
      <c r="AR28" s="48">
        <f t="shared" si="39"/>
        <v>91551.941894399977</v>
      </c>
    </row>
    <row r="29" spans="1:44" x14ac:dyDescent="0.35">
      <c r="A29" s="9" t="s">
        <v>45</v>
      </c>
      <c r="B29" s="48"/>
      <c r="C29" s="48"/>
      <c r="D29" s="48"/>
      <c r="E29" s="48"/>
      <c r="F29" s="48">
        <f>F21*0.051</f>
        <v>7741.7999999999993</v>
      </c>
      <c r="G29" s="48">
        <f t="shared" ref="G29:AQ29" si="41">G21*0.051</f>
        <v>7741.7999999999993</v>
      </c>
      <c r="H29" s="48">
        <f t="shared" si="41"/>
        <v>7741.7999999999993</v>
      </c>
      <c r="I29" s="48">
        <f t="shared" si="41"/>
        <v>7741.7999999999993</v>
      </c>
      <c r="J29" s="48">
        <f t="shared" si="41"/>
        <v>7741.7999999999993</v>
      </c>
      <c r="K29" s="48">
        <f t="shared" si="41"/>
        <v>6099.5999999999985</v>
      </c>
      <c r="L29" s="48">
        <f t="shared" si="41"/>
        <v>6099.5999999999985</v>
      </c>
      <c r="M29" s="48">
        <f t="shared" si="41"/>
        <v>6099.5999999999985</v>
      </c>
      <c r="N29" s="48">
        <f t="shared" si="41"/>
        <v>7741.7999999999993</v>
      </c>
      <c r="O29" s="48">
        <f t="shared" si="41"/>
        <v>6099.5999999999985</v>
      </c>
      <c r="P29" s="48">
        <f t="shared" si="41"/>
        <v>6099.5999999999985</v>
      </c>
      <c r="Q29" s="48">
        <f>Q21*0.051</f>
        <v>20175.599999999999</v>
      </c>
      <c r="R29" s="48">
        <f t="shared" si="37"/>
        <v>97124.4</v>
      </c>
      <c r="S29" s="48">
        <f t="shared" si="41"/>
        <v>11541.146999999997</v>
      </c>
      <c r="T29" s="48">
        <f t="shared" si="41"/>
        <v>11541.146999999997</v>
      </c>
      <c r="U29" s="48">
        <f t="shared" si="41"/>
        <v>11541.146999999997</v>
      </c>
      <c r="V29" s="48">
        <f t="shared" si="41"/>
        <v>11541.146999999997</v>
      </c>
      <c r="W29" s="48">
        <f t="shared" si="41"/>
        <v>11541.146999999997</v>
      </c>
      <c r="X29" s="48">
        <f t="shared" si="41"/>
        <v>11541.146999999997</v>
      </c>
      <c r="Y29" s="48">
        <f t="shared" si="41"/>
        <v>15457.793999999996</v>
      </c>
      <c r="Z29" s="48">
        <f t="shared" si="41"/>
        <v>15457.793999999996</v>
      </c>
      <c r="AA29" s="48">
        <f t="shared" si="41"/>
        <v>15457.793999999996</v>
      </c>
      <c r="AB29" s="48">
        <f t="shared" si="41"/>
        <v>15457.793999999996</v>
      </c>
      <c r="AC29" s="48">
        <f t="shared" si="41"/>
        <v>15457.793999999996</v>
      </c>
      <c r="AD29" s="48">
        <f t="shared" si="41"/>
        <v>15457.793999999996</v>
      </c>
      <c r="AE29" s="48">
        <f t="shared" si="38"/>
        <v>161993.64599999995</v>
      </c>
      <c r="AF29" s="48">
        <f t="shared" si="41"/>
        <v>13417.094932799995</v>
      </c>
      <c r="AG29" s="48">
        <f t="shared" si="41"/>
        <v>13417.094932799995</v>
      </c>
      <c r="AH29" s="48">
        <f t="shared" si="41"/>
        <v>13417.094932799995</v>
      </c>
      <c r="AI29" s="48">
        <f t="shared" si="41"/>
        <v>13417.094932799995</v>
      </c>
      <c r="AJ29" s="48">
        <f t="shared" si="41"/>
        <v>13417.094932799995</v>
      </c>
      <c r="AK29" s="48">
        <f t="shared" si="41"/>
        <v>13417.094932799995</v>
      </c>
      <c r="AL29" s="48">
        <f t="shared" si="41"/>
        <v>13417.094932799995</v>
      </c>
      <c r="AM29" s="48">
        <f t="shared" si="41"/>
        <v>13417.094932799995</v>
      </c>
      <c r="AN29" s="48">
        <f t="shared" si="41"/>
        <v>13417.094932799995</v>
      </c>
      <c r="AO29" s="48">
        <f t="shared" si="41"/>
        <v>13417.094932799995</v>
      </c>
      <c r="AP29" s="48">
        <f t="shared" si="41"/>
        <v>13417.094932799995</v>
      </c>
      <c r="AQ29" s="48">
        <f t="shared" si="41"/>
        <v>13417.094932799995</v>
      </c>
      <c r="AR29" s="48">
        <f t="shared" si="39"/>
        <v>161005.13919359993</v>
      </c>
    </row>
    <row r="30" spans="1:44" x14ac:dyDescent="0.35">
      <c r="A30" s="28" t="s">
        <v>116</v>
      </c>
      <c r="B30" s="48"/>
      <c r="C30" s="48"/>
      <c r="D30" s="48"/>
      <c r="E30" s="48"/>
      <c r="F30" s="48">
        <f>F21*0.002</f>
        <v>303.60000000000002</v>
      </c>
      <c r="G30" s="48">
        <f t="shared" ref="G30:O30" si="42">G21*0.002</f>
        <v>303.60000000000002</v>
      </c>
      <c r="H30" s="48">
        <f t="shared" si="42"/>
        <v>303.60000000000002</v>
      </c>
      <c r="I30" s="48">
        <f t="shared" si="42"/>
        <v>303.60000000000002</v>
      </c>
      <c r="J30" s="48">
        <f t="shared" si="42"/>
        <v>303.60000000000002</v>
      </c>
      <c r="K30" s="48">
        <f t="shared" si="42"/>
        <v>239.2</v>
      </c>
      <c r="L30" s="48">
        <f t="shared" si="42"/>
        <v>239.2</v>
      </c>
      <c r="M30" s="48">
        <f t="shared" si="42"/>
        <v>239.2</v>
      </c>
      <c r="N30" s="48">
        <f t="shared" si="42"/>
        <v>303.60000000000002</v>
      </c>
      <c r="O30" s="48">
        <f t="shared" si="42"/>
        <v>239.2</v>
      </c>
      <c r="P30" s="48">
        <f>P21*0.002</f>
        <v>239.2</v>
      </c>
      <c r="Q30" s="48">
        <f>(Q21-Q14)*0.002</f>
        <v>239.20000000000002</v>
      </c>
      <c r="R30" s="48">
        <f t="shared" si="37"/>
        <v>3256.7999999999993</v>
      </c>
      <c r="S30" s="48">
        <f>S21*0.002</f>
        <v>452.59399999999994</v>
      </c>
      <c r="T30" s="48">
        <f t="shared" ref="T30:AD30" si="43">T21*0.002</f>
        <v>452.59399999999994</v>
      </c>
      <c r="U30" s="48">
        <f t="shared" si="43"/>
        <v>452.59399999999994</v>
      </c>
      <c r="V30" s="48">
        <f t="shared" si="43"/>
        <v>452.59399999999994</v>
      </c>
      <c r="W30" s="48">
        <f t="shared" si="43"/>
        <v>452.59399999999994</v>
      </c>
      <c r="X30" s="48">
        <f t="shared" si="43"/>
        <v>452.59399999999994</v>
      </c>
      <c r="Y30" s="48">
        <f t="shared" si="43"/>
        <v>606.18799999999987</v>
      </c>
      <c r="Z30" s="48">
        <f t="shared" si="43"/>
        <v>606.18799999999987</v>
      </c>
      <c r="AA30" s="48">
        <f>AA21*0.002</f>
        <v>606.18799999999987</v>
      </c>
      <c r="AB30" s="48">
        <f t="shared" si="43"/>
        <v>606.18799999999987</v>
      </c>
      <c r="AC30" s="48">
        <f t="shared" si="43"/>
        <v>606.18799999999987</v>
      </c>
      <c r="AD30" s="48">
        <f t="shared" si="43"/>
        <v>606.18799999999987</v>
      </c>
      <c r="AE30" s="48">
        <f t="shared" si="38"/>
        <v>6352.692</v>
      </c>
      <c r="AF30" s="48">
        <f>AF21*0.002</f>
        <v>526.16058559999988</v>
      </c>
      <c r="AG30" s="48">
        <f t="shared" ref="AG30:AQ30" si="44">AG21*0.002</f>
        <v>526.16058559999988</v>
      </c>
      <c r="AH30" s="48">
        <f t="shared" si="44"/>
        <v>526.16058559999988</v>
      </c>
      <c r="AI30" s="48">
        <f t="shared" si="44"/>
        <v>526.16058559999988</v>
      </c>
      <c r="AJ30" s="48">
        <f t="shared" si="44"/>
        <v>526.16058559999988</v>
      </c>
      <c r="AK30" s="48">
        <f t="shared" si="44"/>
        <v>526.16058559999988</v>
      </c>
      <c r="AL30" s="48">
        <f t="shared" si="44"/>
        <v>526.16058559999988</v>
      </c>
      <c r="AM30" s="48">
        <f t="shared" si="44"/>
        <v>526.16058559999988</v>
      </c>
      <c r="AN30" s="48">
        <f t="shared" si="44"/>
        <v>526.16058559999988</v>
      </c>
      <c r="AO30" s="48">
        <f t="shared" si="44"/>
        <v>526.16058559999988</v>
      </c>
      <c r="AP30" s="48">
        <f t="shared" si="44"/>
        <v>526.16058559999988</v>
      </c>
      <c r="AQ30" s="48">
        <f t="shared" si="44"/>
        <v>526.16058559999988</v>
      </c>
      <c r="AR30" s="48">
        <f t="shared" si="39"/>
        <v>6313.9270271999967</v>
      </c>
    </row>
    <row r="31" spans="1:44" x14ac:dyDescent="0.35">
      <c r="A31" s="8" t="s">
        <v>46</v>
      </c>
      <c r="B31" s="48"/>
      <c r="C31" s="48"/>
      <c r="D31" s="48"/>
      <c r="E31" s="48"/>
      <c r="F31" s="48">
        <f>SUM(F27:F30)</f>
        <v>45843.6</v>
      </c>
      <c r="G31" s="48">
        <f t="shared" ref="G31:Q31" si="45">SUM(G27:G30)</f>
        <v>45843.6</v>
      </c>
      <c r="H31" s="48">
        <f t="shared" si="45"/>
        <v>45843.6</v>
      </c>
      <c r="I31" s="48">
        <f t="shared" si="45"/>
        <v>45843.6</v>
      </c>
      <c r="J31" s="48">
        <f t="shared" si="45"/>
        <v>45843.6</v>
      </c>
      <c r="K31" s="48">
        <f t="shared" si="45"/>
        <v>36119.19999999999</v>
      </c>
      <c r="L31" s="48">
        <f t="shared" si="45"/>
        <v>36119.19999999999</v>
      </c>
      <c r="M31" s="48">
        <f t="shared" si="45"/>
        <v>36119.19999999999</v>
      </c>
      <c r="N31" s="48">
        <f t="shared" si="45"/>
        <v>45843.6</v>
      </c>
      <c r="O31" s="48">
        <f t="shared" si="45"/>
        <v>36119.19999999999</v>
      </c>
      <c r="P31" s="48">
        <f t="shared" si="45"/>
        <v>36119.19999999999</v>
      </c>
      <c r="Q31" s="48">
        <f t="shared" si="45"/>
        <v>118919.2</v>
      </c>
      <c r="R31" s="48">
        <f t="shared" si="37"/>
        <v>574576.80000000005</v>
      </c>
      <c r="S31" s="48">
        <f>SUM(S27:S30)</f>
        <v>68341.693999999989</v>
      </c>
      <c r="T31" s="48">
        <f t="shared" ref="T31" si="46">SUM(T27:T30)</f>
        <v>68341.693999999989</v>
      </c>
      <c r="U31" s="48">
        <f t="shared" ref="U31" si="47">SUM(U27:U30)</f>
        <v>68341.693999999989</v>
      </c>
      <c r="V31" s="48">
        <f t="shared" ref="V31" si="48">SUM(V27:V30)</f>
        <v>68341.693999999989</v>
      </c>
      <c r="W31" s="48">
        <f t="shared" ref="W31" si="49">SUM(W27:W30)</f>
        <v>68341.693999999989</v>
      </c>
      <c r="X31" s="48">
        <f t="shared" ref="X31" si="50">SUM(X27:X30)</f>
        <v>68341.693999999989</v>
      </c>
      <c r="Y31" s="48">
        <f t="shared" ref="Y31" si="51">SUM(Y27:Y30)</f>
        <v>91534.387999999977</v>
      </c>
      <c r="Z31" s="48">
        <f t="shared" ref="Z31" si="52">SUM(Z27:Z30)</f>
        <v>91534.387999999977</v>
      </c>
      <c r="AA31" s="48">
        <f t="shared" ref="AA31" si="53">SUM(AA27:AA30)</f>
        <v>91534.387999999977</v>
      </c>
      <c r="AB31" s="48">
        <f t="shared" ref="AB31" si="54">SUM(AB27:AB30)</f>
        <v>91534.387999999977</v>
      </c>
      <c r="AC31" s="48">
        <f t="shared" ref="AC31" si="55">SUM(AC27:AC30)</f>
        <v>91534.387999999977</v>
      </c>
      <c r="AD31" s="48">
        <f t="shared" ref="AD31" si="56">SUM(AD27:AD30)</f>
        <v>91534.387999999977</v>
      </c>
      <c r="AE31" s="48">
        <f t="shared" si="38"/>
        <v>959256.49200000009</v>
      </c>
      <c r="AF31" s="48">
        <f t="shared" ref="AF31" si="57">SUM(AF27:AF30)</f>
        <v>79450.248425599973</v>
      </c>
      <c r="AG31" s="48">
        <f t="shared" ref="AG31" si="58">SUM(AG27:AG30)</f>
        <v>79450.248425599973</v>
      </c>
      <c r="AH31" s="48">
        <f t="shared" ref="AH31" si="59">SUM(AH27:AH30)</f>
        <v>79450.248425599973</v>
      </c>
      <c r="AI31" s="48">
        <f t="shared" ref="AI31" si="60">SUM(AI27:AI30)</f>
        <v>79450.248425599973</v>
      </c>
      <c r="AJ31" s="48">
        <f t="shared" ref="AJ31" si="61">SUM(AJ27:AJ30)</f>
        <v>79450.248425599973</v>
      </c>
      <c r="AK31" s="48">
        <f t="shared" ref="AK31" si="62">SUM(AK27:AK30)</f>
        <v>79450.248425599973</v>
      </c>
      <c r="AL31" s="48">
        <f t="shared" ref="AL31" si="63">SUM(AL27:AL30)</f>
        <v>79450.248425599973</v>
      </c>
      <c r="AM31" s="48">
        <f t="shared" ref="AM31" si="64">SUM(AM27:AM30)</f>
        <v>79450.248425599973</v>
      </c>
      <c r="AN31" s="48">
        <f t="shared" ref="AN31" si="65">SUM(AN27:AN30)</f>
        <v>79450.248425599973</v>
      </c>
      <c r="AO31" s="48">
        <f t="shared" ref="AO31" si="66">SUM(AO27:AO30)</f>
        <v>79450.248425599973</v>
      </c>
      <c r="AP31" s="48">
        <f t="shared" ref="AP31" si="67">SUM(AP27:AP30)</f>
        <v>79450.248425599973</v>
      </c>
      <c r="AQ31" s="48">
        <f t="shared" ref="AQ31" si="68">SUM(AQ27:AQ30)</f>
        <v>79450.248425599973</v>
      </c>
      <c r="AR31" s="48">
        <f t="shared" si="39"/>
        <v>953402.98110719991</v>
      </c>
    </row>
    <row r="32" spans="1:44" ht="29" x14ac:dyDescent="0.35">
      <c r="A32" s="10" t="s">
        <v>110</v>
      </c>
      <c r="B32" s="48"/>
      <c r="C32" s="48"/>
      <c r="D32" s="48"/>
      <c r="E32" s="48"/>
      <c r="F32" s="48">
        <f>F24+F23+F31</f>
        <v>197643.6</v>
      </c>
      <c r="G32" s="48">
        <f t="shared" ref="G32:S32" si="69">G24+G23+G31</f>
        <v>197643.6</v>
      </c>
      <c r="H32" s="48">
        <f t="shared" si="69"/>
        <v>197643.6</v>
      </c>
      <c r="I32" s="48">
        <f t="shared" si="69"/>
        <v>197643.6</v>
      </c>
      <c r="J32" s="48">
        <f t="shared" si="69"/>
        <v>197643.6</v>
      </c>
      <c r="K32" s="48">
        <f t="shared" si="69"/>
        <v>155719.19999999998</v>
      </c>
      <c r="L32" s="48">
        <f t="shared" si="69"/>
        <v>155719.19999999998</v>
      </c>
      <c r="M32" s="48">
        <f t="shared" si="69"/>
        <v>155719.19999999998</v>
      </c>
      <c r="N32" s="48">
        <f t="shared" si="69"/>
        <v>197643.6</v>
      </c>
      <c r="O32" s="48">
        <f t="shared" si="69"/>
        <v>155719.19999999998</v>
      </c>
      <c r="P32" s="48">
        <f t="shared" si="69"/>
        <v>155719.19999999998</v>
      </c>
      <c r="Q32" s="48">
        <f>Q24+Q23+Q31</f>
        <v>514519.2</v>
      </c>
      <c r="R32" s="48">
        <f t="shared" si="37"/>
        <v>2478976.7999999998</v>
      </c>
      <c r="S32" s="48">
        <f t="shared" si="69"/>
        <v>294638.69399999996</v>
      </c>
      <c r="T32" s="48">
        <f>T24+T23+T31</f>
        <v>294638.69399999996</v>
      </c>
      <c r="U32" s="48">
        <f t="shared" ref="U32:AP32" si="70">U24+U23+U31</f>
        <v>294638.69399999996</v>
      </c>
      <c r="V32" s="48">
        <f t="shared" si="70"/>
        <v>294638.69399999996</v>
      </c>
      <c r="W32" s="48">
        <f t="shared" si="70"/>
        <v>294638.69399999996</v>
      </c>
      <c r="X32" s="48">
        <f t="shared" si="70"/>
        <v>294638.69399999996</v>
      </c>
      <c r="Y32" s="48">
        <f t="shared" si="70"/>
        <v>394628.38799999992</v>
      </c>
      <c r="Z32" s="48">
        <f t="shared" si="70"/>
        <v>394628.38799999992</v>
      </c>
      <c r="AA32" s="48">
        <f t="shared" si="70"/>
        <v>394628.38799999992</v>
      </c>
      <c r="AB32" s="48">
        <f t="shared" si="70"/>
        <v>394628.38799999992</v>
      </c>
      <c r="AC32" s="48">
        <f t="shared" si="70"/>
        <v>394628.38799999992</v>
      </c>
      <c r="AD32" s="48">
        <f t="shared" si="70"/>
        <v>394628.38799999992</v>
      </c>
      <c r="AE32" s="48">
        <f t="shared" si="38"/>
        <v>4135602.4919999987</v>
      </c>
      <c r="AF32" s="48">
        <f t="shared" si="70"/>
        <v>342530.54122559994</v>
      </c>
      <c r="AG32" s="48">
        <f t="shared" si="70"/>
        <v>342530.54122559994</v>
      </c>
      <c r="AH32" s="48">
        <f t="shared" si="70"/>
        <v>342530.54122559994</v>
      </c>
      <c r="AI32" s="48">
        <f t="shared" si="70"/>
        <v>342530.54122559994</v>
      </c>
      <c r="AJ32" s="48">
        <f t="shared" si="70"/>
        <v>342530.54122559994</v>
      </c>
      <c r="AK32" s="48">
        <f t="shared" si="70"/>
        <v>342530.54122559994</v>
      </c>
      <c r="AL32" s="48">
        <f t="shared" si="70"/>
        <v>342530.54122559994</v>
      </c>
      <c r="AM32" s="48">
        <f t="shared" si="70"/>
        <v>342530.54122559994</v>
      </c>
      <c r="AN32" s="48">
        <f t="shared" si="70"/>
        <v>342530.54122559994</v>
      </c>
      <c r="AO32" s="48">
        <f t="shared" si="70"/>
        <v>342530.54122559994</v>
      </c>
      <c r="AP32" s="48">
        <f t="shared" si="70"/>
        <v>342530.54122559994</v>
      </c>
      <c r="AQ32" s="48">
        <f>AQ24+AQ23+AQ31</f>
        <v>342530.54122559994</v>
      </c>
      <c r="AR32" s="48">
        <f t="shared" si="39"/>
        <v>4110366.4947072002</v>
      </c>
    </row>
    <row r="34" spans="1:2" x14ac:dyDescent="0.35">
      <c r="A34" s="74" t="s">
        <v>135</v>
      </c>
      <c r="B34" s="74"/>
    </row>
    <row r="35" spans="1:2" x14ac:dyDescent="0.35">
      <c r="A35" s="74"/>
      <c r="B35" s="74"/>
    </row>
    <row r="37" spans="1:2" x14ac:dyDescent="0.35">
      <c r="A37" s="37"/>
      <c r="B37" s="37"/>
    </row>
    <row r="38" spans="1:2" x14ac:dyDescent="0.35">
      <c r="A38" s="37"/>
      <c r="B38" s="37"/>
    </row>
  </sheetData>
  <mergeCells count="6">
    <mergeCell ref="A1:E1"/>
    <mergeCell ref="F1:Q1"/>
    <mergeCell ref="S1:AD1"/>
    <mergeCell ref="AF1:AQ1"/>
    <mergeCell ref="D2:E2"/>
    <mergeCell ref="A34:B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DF9EF-D23B-4CE4-8A6C-C06FC638121F}">
  <dimension ref="A1:AN16"/>
  <sheetViews>
    <sheetView tabSelected="1" zoomScale="81" workbookViewId="0">
      <selection activeCell="N9" sqref="N9"/>
    </sheetView>
  </sheetViews>
  <sheetFormatPr defaultRowHeight="14.5" x14ac:dyDescent="0.35"/>
  <cols>
    <col min="1" max="1" width="28.1796875" bestFit="1" customWidth="1"/>
    <col min="2" max="2" width="11.54296875" bestFit="1" customWidth="1"/>
    <col min="3" max="3" width="12.08984375" customWidth="1"/>
    <col min="4" max="13" width="11.54296875" bestFit="1" customWidth="1"/>
    <col min="14" max="14" width="16.26953125" bestFit="1" customWidth="1"/>
    <col min="15" max="26" width="11.54296875" bestFit="1" customWidth="1"/>
    <col min="27" max="27" width="13.08984375" bestFit="1" customWidth="1"/>
    <col min="28" max="39" width="11.54296875" bestFit="1" customWidth="1"/>
    <col min="40" max="40" width="13.08984375" bestFit="1" customWidth="1"/>
  </cols>
  <sheetData>
    <row r="1" spans="1:40" x14ac:dyDescent="0.35">
      <c r="A1" s="71" t="s">
        <v>48</v>
      </c>
      <c r="B1" s="75" t="s">
        <v>49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1" t="s">
        <v>51</v>
      </c>
      <c r="O1" s="75" t="s">
        <v>50</v>
      </c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1" t="s">
        <v>53</v>
      </c>
      <c r="AB1" s="75" t="s">
        <v>52</v>
      </c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1" t="s">
        <v>66</v>
      </c>
    </row>
    <row r="2" spans="1:40" x14ac:dyDescent="0.35">
      <c r="A2" s="71"/>
      <c r="B2" s="13" t="s">
        <v>54</v>
      </c>
      <c r="C2" s="13" t="s">
        <v>55</v>
      </c>
      <c r="D2" s="13" t="s">
        <v>56</v>
      </c>
      <c r="E2" s="13" t="s">
        <v>57</v>
      </c>
      <c r="F2" s="13" t="s">
        <v>58</v>
      </c>
      <c r="G2" s="13" t="s">
        <v>59</v>
      </c>
      <c r="H2" s="13" t="s">
        <v>60</v>
      </c>
      <c r="I2" s="13" t="s">
        <v>61</v>
      </c>
      <c r="J2" s="13" t="s">
        <v>62</v>
      </c>
      <c r="K2" s="13" t="s">
        <v>63</v>
      </c>
      <c r="L2" s="13" t="s">
        <v>64</v>
      </c>
      <c r="M2" s="13" t="s">
        <v>65</v>
      </c>
      <c r="N2" s="71"/>
      <c r="O2" s="13" t="s">
        <v>54</v>
      </c>
      <c r="P2" s="13" t="s">
        <v>55</v>
      </c>
      <c r="Q2" s="13" t="s">
        <v>56</v>
      </c>
      <c r="R2" s="13" t="s">
        <v>57</v>
      </c>
      <c r="S2" s="13" t="s">
        <v>58</v>
      </c>
      <c r="T2" s="13" t="s">
        <v>59</v>
      </c>
      <c r="U2" s="13" t="s">
        <v>60</v>
      </c>
      <c r="V2" s="13" t="s">
        <v>61</v>
      </c>
      <c r="W2" s="13" t="s">
        <v>62</v>
      </c>
      <c r="X2" s="13" t="s">
        <v>63</v>
      </c>
      <c r="Y2" s="13" t="s">
        <v>64</v>
      </c>
      <c r="Z2" s="13" t="s">
        <v>65</v>
      </c>
      <c r="AA2" s="71"/>
      <c r="AB2" s="13" t="s">
        <v>54</v>
      </c>
      <c r="AC2" s="13" t="s">
        <v>55</v>
      </c>
      <c r="AD2" s="13" t="s">
        <v>56</v>
      </c>
      <c r="AE2" s="13" t="s">
        <v>57</v>
      </c>
      <c r="AF2" s="13" t="s">
        <v>58</v>
      </c>
      <c r="AG2" s="13" t="s">
        <v>59</v>
      </c>
      <c r="AH2" s="13" t="s">
        <v>60</v>
      </c>
      <c r="AI2" s="13" t="s">
        <v>61</v>
      </c>
      <c r="AJ2" s="13" t="s">
        <v>62</v>
      </c>
      <c r="AK2" s="13" t="s">
        <v>63</v>
      </c>
      <c r="AL2" s="13" t="s">
        <v>64</v>
      </c>
      <c r="AM2" s="13" t="s">
        <v>65</v>
      </c>
      <c r="AN2" s="71"/>
    </row>
    <row r="3" spans="1:40" x14ac:dyDescent="0.35">
      <c r="A3" s="14"/>
      <c r="B3" s="15">
        <v>45292</v>
      </c>
      <c r="C3" s="15">
        <v>45323</v>
      </c>
      <c r="D3" s="15">
        <v>45352</v>
      </c>
      <c r="E3" s="15">
        <v>45383</v>
      </c>
      <c r="F3" s="15">
        <v>45413</v>
      </c>
      <c r="G3" s="15">
        <v>45444</v>
      </c>
      <c r="H3" s="15">
        <v>45474</v>
      </c>
      <c r="I3" s="15">
        <v>45505</v>
      </c>
      <c r="J3" s="15">
        <v>45536</v>
      </c>
      <c r="K3" s="15">
        <v>45566</v>
      </c>
      <c r="L3" s="15">
        <v>45597</v>
      </c>
      <c r="M3" s="15">
        <v>45627</v>
      </c>
      <c r="N3" s="71"/>
      <c r="O3" s="15">
        <v>45658</v>
      </c>
      <c r="P3" s="15">
        <v>45689</v>
      </c>
      <c r="Q3" s="15">
        <v>45717</v>
      </c>
      <c r="R3" s="15">
        <v>45748</v>
      </c>
      <c r="S3" s="15">
        <v>45778</v>
      </c>
      <c r="T3" s="15">
        <v>45809</v>
      </c>
      <c r="U3" s="15">
        <v>45839</v>
      </c>
      <c r="V3" s="15">
        <v>45870</v>
      </c>
      <c r="W3" s="15">
        <v>45901</v>
      </c>
      <c r="X3" s="15">
        <v>45931</v>
      </c>
      <c r="Y3" s="15">
        <v>45962</v>
      </c>
      <c r="Z3" s="15">
        <v>45992</v>
      </c>
      <c r="AA3" s="71"/>
      <c r="AB3" s="15">
        <v>46023</v>
      </c>
      <c r="AC3" s="15">
        <v>46054</v>
      </c>
      <c r="AD3" s="15">
        <v>46082</v>
      </c>
      <c r="AE3" s="15">
        <v>46113</v>
      </c>
      <c r="AF3" s="15">
        <v>46143</v>
      </c>
      <c r="AG3" s="15">
        <v>46174</v>
      </c>
      <c r="AH3" s="15">
        <v>46204</v>
      </c>
      <c r="AI3" s="15">
        <v>46235</v>
      </c>
      <c r="AJ3" s="15">
        <v>46266</v>
      </c>
      <c r="AK3" s="15">
        <v>46296</v>
      </c>
      <c r="AL3" s="15">
        <v>46327</v>
      </c>
      <c r="AM3" s="15">
        <v>46357</v>
      </c>
      <c r="AN3" s="71"/>
    </row>
    <row r="4" spans="1:40" x14ac:dyDescent="0.35">
      <c r="A4" s="16" t="s">
        <v>67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</row>
    <row r="5" spans="1:40" ht="29" x14ac:dyDescent="0.35">
      <c r="A5" s="29" t="s">
        <v>87</v>
      </c>
      <c r="B5" s="48">
        <v>57023.199999999997</v>
      </c>
      <c r="C5" s="48" t="s">
        <v>100</v>
      </c>
      <c r="D5" s="48" t="s">
        <v>100</v>
      </c>
      <c r="E5" s="48" t="s">
        <v>100</v>
      </c>
      <c r="F5" s="48" t="s">
        <v>100</v>
      </c>
      <c r="G5" s="48" t="s">
        <v>100</v>
      </c>
      <c r="H5" s="48" t="s">
        <v>100</v>
      </c>
      <c r="I5" s="48" t="s">
        <v>100</v>
      </c>
      <c r="J5" s="48" t="s">
        <v>100</v>
      </c>
      <c r="K5" s="48" t="s">
        <v>100</v>
      </c>
      <c r="L5" s="48" t="s">
        <v>100</v>
      </c>
      <c r="M5" s="48" t="s">
        <v>100</v>
      </c>
      <c r="N5" s="48">
        <f>SUM(B5:M5)</f>
        <v>57023.199999999997</v>
      </c>
      <c r="O5" s="48">
        <f>50000*(1+'Ключевые метрики'!$F$3)</f>
        <v>53560</v>
      </c>
      <c r="P5" s="48" t="s">
        <v>100</v>
      </c>
      <c r="Q5" s="48" t="s">
        <v>100</v>
      </c>
      <c r="R5" s="48" t="s">
        <v>100</v>
      </c>
      <c r="S5" s="48" t="s">
        <v>100</v>
      </c>
      <c r="T5" s="48" t="s">
        <v>100</v>
      </c>
      <c r="U5" s="48" t="s">
        <v>100</v>
      </c>
      <c r="V5" s="48" t="s">
        <v>100</v>
      </c>
      <c r="W5" s="48" t="s">
        <v>100</v>
      </c>
      <c r="X5" s="48" t="s">
        <v>100</v>
      </c>
      <c r="Y5" s="48" t="s">
        <v>100</v>
      </c>
      <c r="Z5" s="48" t="s">
        <v>100</v>
      </c>
      <c r="AA5" s="48">
        <f>SUM(O5:Z5)</f>
        <v>53560</v>
      </c>
      <c r="AB5" s="48">
        <f>O5*(1+'Ключевые метрики'!$F$3)</f>
        <v>57373.471999999994</v>
      </c>
      <c r="AC5" s="48" t="s">
        <v>100</v>
      </c>
      <c r="AD5" s="48" t="s">
        <v>100</v>
      </c>
      <c r="AE5" s="48" t="s">
        <v>100</v>
      </c>
      <c r="AF5" s="48" t="s">
        <v>100</v>
      </c>
      <c r="AG5" s="48" t="s">
        <v>100</v>
      </c>
      <c r="AH5" s="48" t="s">
        <v>100</v>
      </c>
      <c r="AI5" s="48" t="s">
        <v>100</v>
      </c>
      <c r="AJ5" s="48" t="s">
        <v>100</v>
      </c>
      <c r="AK5" s="48" t="s">
        <v>100</v>
      </c>
      <c r="AL5" s="48" t="s">
        <v>100</v>
      </c>
      <c r="AM5" s="48" t="s">
        <v>100</v>
      </c>
      <c r="AN5" s="48">
        <f>SUM(AB5:AM5)</f>
        <v>57373.471999999994</v>
      </c>
    </row>
    <row r="6" spans="1:40" x14ac:dyDescent="0.35">
      <c r="A6" s="29" t="s">
        <v>88</v>
      </c>
      <c r="B6" s="48">
        <v>7000</v>
      </c>
      <c r="C6" s="48" t="s">
        <v>100</v>
      </c>
      <c r="D6" s="48" t="s">
        <v>100</v>
      </c>
      <c r="E6" s="48" t="s">
        <v>100</v>
      </c>
      <c r="F6" s="48" t="s">
        <v>100</v>
      </c>
      <c r="G6" s="48" t="s">
        <v>100</v>
      </c>
      <c r="H6" s="48" t="s">
        <v>100</v>
      </c>
      <c r="I6" s="48" t="s">
        <v>100</v>
      </c>
      <c r="J6" s="48" t="s">
        <v>100</v>
      </c>
      <c r="K6" s="48" t="s">
        <v>100</v>
      </c>
      <c r="L6" s="48" t="s">
        <v>100</v>
      </c>
      <c r="M6" s="48" t="s">
        <v>100</v>
      </c>
      <c r="N6" s="48">
        <f t="shared" ref="N6" si="0">SUM(B6:M6)</f>
        <v>7000</v>
      </c>
      <c r="O6" s="48">
        <f>7000*(1+'Ключевые метрики'!$F$3)</f>
        <v>7498.4</v>
      </c>
      <c r="P6" s="48" t="s">
        <v>100</v>
      </c>
      <c r="Q6" s="48" t="s">
        <v>100</v>
      </c>
      <c r="R6" s="48" t="s">
        <v>100</v>
      </c>
      <c r="S6" s="48" t="s">
        <v>100</v>
      </c>
      <c r="T6" s="48" t="s">
        <v>100</v>
      </c>
      <c r="U6" s="48" t="s">
        <v>100</v>
      </c>
      <c r="V6" s="48" t="s">
        <v>100</v>
      </c>
      <c r="W6" s="48" t="s">
        <v>100</v>
      </c>
      <c r="X6" s="48" t="s">
        <v>100</v>
      </c>
      <c r="Y6" s="48" t="s">
        <v>100</v>
      </c>
      <c r="Z6" s="48" t="s">
        <v>100</v>
      </c>
      <c r="AA6" s="48">
        <f>SUM(O6:Z6)</f>
        <v>7498.4</v>
      </c>
      <c r="AB6" s="48">
        <f>O6*(1+'Ключевые метрики'!$F$3)</f>
        <v>8032.2860799999989</v>
      </c>
      <c r="AC6" s="48" t="s">
        <v>100</v>
      </c>
      <c r="AD6" s="48" t="s">
        <v>100</v>
      </c>
      <c r="AE6" s="48" t="s">
        <v>100</v>
      </c>
      <c r="AF6" s="48" t="s">
        <v>100</v>
      </c>
      <c r="AG6" s="48" t="s">
        <v>100</v>
      </c>
      <c r="AH6" s="48" t="s">
        <v>100</v>
      </c>
      <c r="AI6" s="48" t="s">
        <v>100</v>
      </c>
      <c r="AJ6" s="48" t="s">
        <v>100</v>
      </c>
      <c r="AK6" s="48" t="s">
        <v>100</v>
      </c>
      <c r="AL6" s="48" t="s">
        <v>100</v>
      </c>
      <c r="AM6" s="48" t="s">
        <v>100</v>
      </c>
      <c r="AN6" s="48">
        <f>SUM(AB6:AM6)</f>
        <v>8032.2860799999989</v>
      </c>
    </row>
    <row r="7" spans="1:40" x14ac:dyDescent="0.35">
      <c r="A7" s="29" t="s">
        <v>68</v>
      </c>
      <c r="B7" s="48">
        <f>'Расходы на персонал'!F32</f>
        <v>197643.6</v>
      </c>
      <c r="C7" s="48">
        <f>'Расходы на персонал'!G32</f>
        <v>197643.6</v>
      </c>
      <c r="D7" s="48">
        <f>'Расходы на персонал'!H32</f>
        <v>197643.6</v>
      </c>
      <c r="E7" s="48">
        <f>'Расходы на персонал'!I32</f>
        <v>197643.6</v>
      </c>
      <c r="F7" s="48">
        <f>'Расходы на персонал'!J32</f>
        <v>197643.6</v>
      </c>
      <c r="G7" s="48">
        <f>'Расходы на персонал'!K32</f>
        <v>155719.19999999998</v>
      </c>
      <c r="H7" s="48">
        <f>'Расходы на персонал'!L32</f>
        <v>155719.19999999998</v>
      </c>
      <c r="I7" s="48">
        <f>'Расходы на персонал'!M32</f>
        <v>155719.19999999998</v>
      </c>
      <c r="J7" s="48">
        <f>'Расходы на персонал'!N32</f>
        <v>197643.6</v>
      </c>
      <c r="K7" s="48">
        <f>'Расходы на персонал'!O32</f>
        <v>155719.19999999998</v>
      </c>
      <c r="L7" s="48">
        <f>'Расходы на персонал'!P32</f>
        <v>155719.19999999998</v>
      </c>
      <c r="M7" s="48">
        <f>'Расходы на персонал'!Q32</f>
        <v>514519.2</v>
      </c>
      <c r="N7" s="48">
        <f>SUM(B7:M7)</f>
        <v>2478976.7999999998</v>
      </c>
      <c r="O7" s="48">
        <f>'Расходы на персонал'!S32</f>
        <v>294638.69399999996</v>
      </c>
      <c r="P7" s="48">
        <f>'Расходы на персонал'!T32</f>
        <v>294638.69399999996</v>
      </c>
      <c r="Q7" s="48">
        <f>'Расходы на персонал'!U32</f>
        <v>294638.69399999996</v>
      </c>
      <c r="R7" s="48">
        <f>'Расходы на персонал'!V32</f>
        <v>294638.69399999996</v>
      </c>
      <c r="S7" s="48">
        <f>'Расходы на персонал'!W32</f>
        <v>294638.69399999996</v>
      </c>
      <c r="T7" s="48">
        <f>'Расходы на персонал'!X32</f>
        <v>294638.69399999996</v>
      </c>
      <c r="U7" s="48">
        <f>'Расходы на персонал'!Y32</f>
        <v>394628.38799999992</v>
      </c>
      <c r="V7" s="48">
        <f>'Расходы на персонал'!Z32</f>
        <v>394628.38799999992</v>
      </c>
      <c r="W7" s="48">
        <f>'Расходы на персонал'!AA32</f>
        <v>394628.38799999992</v>
      </c>
      <c r="X7" s="48">
        <f>'Расходы на персонал'!AB32</f>
        <v>394628.38799999992</v>
      </c>
      <c r="Y7" s="48">
        <f>'Расходы на персонал'!AC32</f>
        <v>394628.38799999992</v>
      </c>
      <c r="Z7" s="48">
        <f>'Расходы на персонал'!AD32</f>
        <v>394628.38799999992</v>
      </c>
      <c r="AA7" s="48">
        <f>SUM(O7:Z7)</f>
        <v>4135602.4919999987</v>
      </c>
      <c r="AB7" s="48">
        <f>'Расходы на персонал'!AF32</f>
        <v>342530.54122559994</v>
      </c>
      <c r="AC7" s="48">
        <f>'Расходы на персонал'!AG32</f>
        <v>342530.54122559994</v>
      </c>
      <c r="AD7" s="48">
        <f>'Расходы на персонал'!AH32</f>
        <v>342530.54122559994</v>
      </c>
      <c r="AE7" s="48">
        <f>'Расходы на персонал'!AI32</f>
        <v>342530.54122559994</v>
      </c>
      <c r="AF7" s="48">
        <f>'Расходы на персонал'!AJ32</f>
        <v>342530.54122559994</v>
      </c>
      <c r="AG7" s="48">
        <f>'Расходы на персонал'!AK32</f>
        <v>342530.54122559994</v>
      </c>
      <c r="AH7" s="48">
        <f>'Расходы на персонал'!AL32</f>
        <v>342530.54122559994</v>
      </c>
      <c r="AI7" s="48">
        <f>'Расходы на персонал'!AM32</f>
        <v>342530.54122559994</v>
      </c>
      <c r="AJ7" s="48">
        <f>'Расходы на персонал'!AN32</f>
        <v>342530.54122559994</v>
      </c>
      <c r="AK7" s="48">
        <f>'Расходы на персонал'!AO32</f>
        <v>342530.54122559994</v>
      </c>
      <c r="AL7" s="48">
        <f>'Расходы на персонал'!AP32</f>
        <v>342530.54122559994</v>
      </c>
      <c r="AM7" s="48">
        <f>'Расходы на персонал'!AQ32</f>
        <v>342530.54122559994</v>
      </c>
      <c r="AN7" s="48">
        <f>SUM(AB7:AM7)</f>
        <v>4110366.4947072002</v>
      </c>
    </row>
    <row r="8" spans="1:40" ht="29" x14ac:dyDescent="0.35">
      <c r="A8" s="30" t="s">
        <v>98</v>
      </c>
      <c r="B8" s="48">
        <v>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f>SUM(B8:M8)</f>
        <v>0</v>
      </c>
      <c r="O8" s="48">
        <v>15500</v>
      </c>
      <c r="P8" s="48">
        <v>15500</v>
      </c>
      <c r="Q8" s="48">
        <v>15500</v>
      </c>
      <c r="R8" s="48">
        <v>15500</v>
      </c>
      <c r="S8" s="48">
        <v>15500</v>
      </c>
      <c r="T8" s="48">
        <v>15500</v>
      </c>
      <c r="U8" s="48">
        <v>15500</v>
      </c>
      <c r="V8" s="48">
        <v>15500</v>
      </c>
      <c r="W8" s="48">
        <v>15500</v>
      </c>
      <c r="X8" s="48">
        <v>15500</v>
      </c>
      <c r="Y8" s="48">
        <v>15500</v>
      </c>
      <c r="Z8" s="48">
        <v>15500</v>
      </c>
      <c r="AA8" s="48">
        <f t="shared" ref="AA8" si="1">SUM(O8:Z8)</f>
        <v>186000</v>
      </c>
      <c r="AB8" s="48">
        <f>$O$8*(1+'Ключевые метрики'!$F$3)</f>
        <v>16603.599999999999</v>
      </c>
      <c r="AC8" s="48">
        <f>$O$8*(1+'Ключевые метрики'!$F$3)</f>
        <v>16603.599999999999</v>
      </c>
      <c r="AD8" s="48">
        <f>$O$8*(1+'Ключевые метрики'!$F$3)</f>
        <v>16603.599999999999</v>
      </c>
      <c r="AE8" s="48">
        <f>$O$8*(1+'Ключевые метрики'!$F$3)</f>
        <v>16603.599999999999</v>
      </c>
      <c r="AF8" s="48">
        <f>$O$8*(1+'Ключевые метрики'!$F$3)</f>
        <v>16603.599999999999</v>
      </c>
      <c r="AG8" s="48">
        <f>$O$8*(1+'Ключевые метрики'!$F$3)</f>
        <v>16603.599999999999</v>
      </c>
      <c r="AH8" s="48">
        <f>$O$8*(1+'Ключевые метрики'!$F$3)</f>
        <v>16603.599999999999</v>
      </c>
      <c r="AI8" s="48">
        <f>$O$8*(1+'Ключевые метрики'!$F$3)</f>
        <v>16603.599999999999</v>
      </c>
      <c r="AJ8" s="48">
        <f>$O$8*(1+'Ключевые метрики'!$F$3)</f>
        <v>16603.599999999999</v>
      </c>
      <c r="AK8" s="48">
        <f>$O$8*(1+'Ключевые метрики'!$F$3)</f>
        <v>16603.599999999999</v>
      </c>
      <c r="AL8" s="48">
        <f>$O$8*(1+'Ключевые метрики'!$F$3)</f>
        <v>16603.599999999999</v>
      </c>
      <c r="AM8" s="48">
        <f>$O$8*(1+'Ключевые метрики'!$F$3)</f>
        <v>16603.599999999999</v>
      </c>
      <c r="AN8" s="48">
        <f>SUM(AB8:AM8)</f>
        <v>199243.20000000004</v>
      </c>
    </row>
    <row r="9" spans="1:40" ht="58" x14ac:dyDescent="0.35">
      <c r="A9" s="51" t="s">
        <v>131</v>
      </c>
      <c r="B9" s="48">
        <f>'Маркетинг и реклама'!D8</f>
        <v>0</v>
      </c>
      <c r="C9" s="48">
        <f>'Маркетинг и реклама'!E8</f>
        <v>0</v>
      </c>
      <c r="D9" s="48">
        <f>'Маркетинг и реклама'!F8</f>
        <v>0</v>
      </c>
      <c r="E9" s="48">
        <f>'Маркетинг и реклама'!G8</f>
        <v>100000</v>
      </c>
      <c r="F9" s="48">
        <f>'Маркетинг и реклама'!H8</f>
        <v>0</v>
      </c>
      <c r="G9" s="48">
        <f>'Маркетинг и реклама'!I8</f>
        <v>0</v>
      </c>
      <c r="H9" s="48">
        <f>'Маркетинг и реклама'!J8</f>
        <v>0</v>
      </c>
      <c r="I9" s="48">
        <f>'Маркетинг и реклама'!K8</f>
        <v>0</v>
      </c>
      <c r="J9" s="48">
        <f>'Маркетинг и реклама'!L8</f>
        <v>100000</v>
      </c>
      <c r="K9" s="48">
        <f>'Маркетинг и реклама'!M8</f>
        <v>0</v>
      </c>
      <c r="L9" s="48">
        <f>'Маркетинг и реклама'!N8</f>
        <v>0</v>
      </c>
      <c r="M9" s="48">
        <f>'Маркетинг и реклама'!O8</f>
        <v>0</v>
      </c>
      <c r="N9" s="48">
        <f>SUM(B9:M9)</f>
        <v>200000</v>
      </c>
      <c r="O9" s="48">
        <f>'Маркетинг и реклама'!Q8</f>
        <v>40000</v>
      </c>
      <c r="P9" s="48">
        <f>'Маркетинг и реклама'!R8</f>
        <v>40000</v>
      </c>
      <c r="Q9" s="48">
        <f>'Маркетинг и реклама'!S8</f>
        <v>40000</v>
      </c>
      <c r="R9" s="48">
        <f>'Маркетинг и реклама'!T8</f>
        <v>40000</v>
      </c>
      <c r="S9" s="48">
        <f>'Маркетинг и реклама'!U8</f>
        <v>217120</v>
      </c>
      <c r="T9" s="48">
        <f>'Маркетинг и реклама'!V8</f>
        <v>40000</v>
      </c>
      <c r="U9" s="48">
        <f>'Маркетинг и реклама'!W8</f>
        <v>40000</v>
      </c>
      <c r="V9" s="48">
        <f>'Маркетинг и реклама'!X8</f>
        <v>40000</v>
      </c>
      <c r="W9" s="48">
        <f>'Маркетинг и реклама'!Y8</f>
        <v>110000</v>
      </c>
      <c r="X9" s="48">
        <f>'Маркетинг и реклама'!Z8</f>
        <v>40000</v>
      </c>
      <c r="Y9" s="48">
        <f>'Маркетинг и реклама'!AA8</f>
        <v>147120</v>
      </c>
      <c r="Z9" s="48">
        <f>'Маркетинг и реклама'!AB8</f>
        <v>40000</v>
      </c>
      <c r="AA9" s="48">
        <f>SUM(O9:Z9)</f>
        <v>834240</v>
      </c>
      <c r="AB9" s="48">
        <f>'Маркетинг и реклама'!AD8</f>
        <v>0</v>
      </c>
      <c r="AC9" s="48">
        <f>'Маркетинг и реклама'!AE8</f>
        <v>0</v>
      </c>
      <c r="AD9" s="48">
        <f>'Маркетинг и реклама'!AF8</f>
        <v>157594.94399999999</v>
      </c>
      <c r="AE9" s="48">
        <f>'Маркетинг и реклама'!AG8</f>
        <v>0</v>
      </c>
      <c r="AF9" s="48">
        <f>'Маркетинг и реклама'!AH8</f>
        <v>74984</v>
      </c>
      <c r="AG9" s="48">
        <f>'Маркетинг и реклама'!AI8</f>
        <v>0</v>
      </c>
      <c r="AH9" s="48">
        <f>'Маркетинг и реклама'!AJ8</f>
        <v>42848</v>
      </c>
      <c r="AI9" s="48">
        <f>'Маркетинг и реклама'!AK8</f>
        <v>114746.94399999999</v>
      </c>
      <c r="AJ9" s="48">
        <f>'Маркетинг и реклама'!AL8</f>
        <v>74984</v>
      </c>
      <c r="AK9" s="48">
        <f>'Маркетинг и реклама'!AM8</f>
        <v>0</v>
      </c>
      <c r="AL9" s="48">
        <f>'Маркетинг и реклама'!AN8</f>
        <v>114746.94399999999</v>
      </c>
      <c r="AM9" s="48">
        <f>'Маркетинг и реклама'!AO8</f>
        <v>42848</v>
      </c>
      <c r="AN9" s="48">
        <f>SUM(AB9:AM9)</f>
        <v>622752.83200000005</v>
      </c>
    </row>
    <row r="10" spans="1:40" x14ac:dyDescent="0.35">
      <c r="A10" s="10" t="s">
        <v>69</v>
      </c>
      <c r="B10" s="48">
        <f>SUM(B5:B9)</f>
        <v>261666.8</v>
      </c>
      <c r="C10" s="48">
        <f t="shared" ref="C10:AM10" si="2">SUM(C5:C9)</f>
        <v>197643.6</v>
      </c>
      <c r="D10" s="48">
        <f t="shared" si="2"/>
        <v>197643.6</v>
      </c>
      <c r="E10" s="48">
        <f>SUM(E5:E9)</f>
        <v>297643.59999999998</v>
      </c>
      <c r="F10" s="48">
        <f t="shared" si="2"/>
        <v>197643.6</v>
      </c>
      <c r="G10" s="48">
        <f t="shared" si="2"/>
        <v>155719.19999999998</v>
      </c>
      <c r="H10" s="48">
        <f t="shared" si="2"/>
        <v>155719.19999999998</v>
      </c>
      <c r="I10" s="48">
        <f t="shared" si="2"/>
        <v>155719.19999999998</v>
      </c>
      <c r="J10" s="48">
        <f t="shared" si="2"/>
        <v>297643.59999999998</v>
      </c>
      <c r="K10" s="48">
        <f t="shared" si="2"/>
        <v>155719.19999999998</v>
      </c>
      <c r="L10" s="48">
        <f t="shared" si="2"/>
        <v>155719.19999999998</v>
      </c>
      <c r="M10" s="48">
        <f t="shared" si="2"/>
        <v>514519.2</v>
      </c>
      <c r="N10" s="48">
        <f>SUM(N5:N9)</f>
        <v>2743000</v>
      </c>
      <c r="O10" s="48">
        <f>SUM(O5:O9)</f>
        <v>411197.09399999998</v>
      </c>
      <c r="P10" s="48">
        <f t="shared" si="2"/>
        <v>350138.69399999996</v>
      </c>
      <c r="Q10" s="48">
        <f t="shared" si="2"/>
        <v>350138.69399999996</v>
      </c>
      <c r="R10" s="48">
        <f t="shared" si="2"/>
        <v>350138.69399999996</v>
      </c>
      <c r="S10" s="48">
        <f t="shared" si="2"/>
        <v>527258.6939999999</v>
      </c>
      <c r="T10" s="48">
        <f t="shared" si="2"/>
        <v>350138.69399999996</v>
      </c>
      <c r="U10" s="48">
        <f t="shared" si="2"/>
        <v>450128.38799999992</v>
      </c>
      <c r="V10" s="48">
        <f t="shared" si="2"/>
        <v>450128.38799999992</v>
      </c>
      <c r="W10" s="48">
        <f t="shared" si="2"/>
        <v>520128.38799999992</v>
      </c>
      <c r="X10" s="48">
        <f t="shared" si="2"/>
        <v>450128.38799999992</v>
      </c>
      <c r="Y10" s="48">
        <f t="shared" si="2"/>
        <v>557248.38799999992</v>
      </c>
      <c r="Z10" s="48">
        <f t="shared" si="2"/>
        <v>450128.38799999992</v>
      </c>
      <c r="AA10" s="48">
        <f>SUM(AA5:AA9)</f>
        <v>5216900.8919999991</v>
      </c>
      <c r="AB10" s="48">
        <f>SUM(AB5:AB9)</f>
        <v>424539.89930559992</v>
      </c>
      <c r="AC10" s="48">
        <f t="shared" si="2"/>
        <v>359134.14122559992</v>
      </c>
      <c r="AD10" s="48">
        <f t="shared" si="2"/>
        <v>516729.08522559993</v>
      </c>
      <c r="AE10" s="48">
        <f t="shared" si="2"/>
        <v>359134.14122559992</v>
      </c>
      <c r="AF10" s="48">
        <f t="shared" si="2"/>
        <v>434118.14122559992</v>
      </c>
      <c r="AG10" s="48">
        <f t="shared" si="2"/>
        <v>359134.14122559992</v>
      </c>
      <c r="AH10" s="48">
        <f t="shared" si="2"/>
        <v>401982.14122559992</v>
      </c>
      <c r="AI10" s="48">
        <f t="shared" si="2"/>
        <v>473881.08522559993</v>
      </c>
      <c r="AJ10" s="48">
        <f t="shared" si="2"/>
        <v>434118.14122559992</v>
      </c>
      <c r="AK10" s="48">
        <f t="shared" si="2"/>
        <v>359134.14122559992</v>
      </c>
      <c r="AL10" s="48">
        <f t="shared" si="2"/>
        <v>473881.08522559993</v>
      </c>
      <c r="AM10" s="48">
        <f t="shared" si="2"/>
        <v>401982.14122559992</v>
      </c>
      <c r="AN10" s="48">
        <f>SUM(AN5:AN9)</f>
        <v>4997768.2847872004</v>
      </c>
    </row>
    <row r="11" spans="1:40" x14ac:dyDescent="0.35">
      <c r="N11" s="119"/>
    </row>
    <row r="12" spans="1:40" x14ac:dyDescent="0.35">
      <c r="A12" s="6"/>
    </row>
    <row r="13" spans="1:40" ht="31.5" customHeight="1" x14ac:dyDescent="0.35">
      <c r="A13" s="34" t="s">
        <v>85</v>
      </c>
      <c r="B13" s="23" t="s">
        <v>80</v>
      </c>
      <c r="C13" s="23" t="s">
        <v>81</v>
      </c>
      <c r="D13" s="24" t="s">
        <v>82</v>
      </c>
    </row>
    <row r="14" spans="1:40" x14ac:dyDescent="0.35">
      <c r="A14" s="1" t="s">
        <v>83</v>
      </c>
      <c r="B14" s="1">
        <v>1</v>
      </c>
      <c r="C14" s="25">
        <v>235000</v>
      </c>
      <c r="D14" s="25">
        <f>B14*C14</f>
        <v>235000</v>
      </c>
    </row>
    <row r="15" spans="1:40" x14ac:dyDescent="0.35">
      <c r="A15" s="1" t="s">
        <v>84</v>
      </c>
      <c r="B15" s="1">
        <v>1</v>
      </c>
      <c r="C15" s="25">
        <v>22000</v>
      </c>
      <c r="D15" s="25">
        <f>B15*C15</f>
        <v>22000</v>
      </c>
    </row>
    <row r="16" spans="1:40" x14ac:dyDescent="0.35">
      <c r="A16" s="8" t="s">
        <v>86</v>
      </c>
      <c r="B16" s="8"/>
      <c r="C16" s="26"/>
      <c r="D16" s="26">
        <f>SUM(D14:D15)</f>
        <v>257000</v>
      </c>
    </row>
  </sheetData>
  <mergeCells count="7">
    <mergeCell ref="AN1:AN3"/>
    <mergeCell ref="A1:A2"/>
    <mergeCell ref="B1:M1"/>
    <mergeCell ref="N1:N3"/>
    <mergeCell ref="O1:Z1"/>
    <mergeCell ref="AA1:AA3"/>
    <mergeCell ref="AB1:AM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0ED46-DC8E-4578-8201-144A1BBD9D9F}">
  <dimension ref="A1:AP8"/>
  <sheetViews>
    <sheetView workbookViewId="0">
      <selection activeCell="L8" sqref="L8"/>
    </sheetView>
  </sheetViews>
  <sheetFormatPr defaultRowHeight="14.5" x14ac:dyDescent="0.35"/>
  <cols>
    <col min="1" max="1" width="2.90625" bestFit="1" customWidth="1"/>
    <col min="2" max="2" width="23.7265625" customWidth="1"/>
    <col min="3" max="3" width="11" bestFit="1" customWidth="1"/>
    <col min="4" max="6" width="8.81640625" bestFit="1" customWidth="1"/>
    <col min="7" max="7" width="11" bestFit="1" customWidth="1"/>
    <col min="8" max="11" width="8.81640625" bestFit="1" customWidth="1"/>
    <col min="12" max="12" width="11" bestFit="1" customWidth="1"/>
    <col min="13" max="15" width="8.81640625" bestFit="1" customWidth="1"/>
    <col min="16" max="16" width="11" bestFit="1" customWidth="1"/>
    <col min="17" max="18" width="10" bestFit="1" customWidth="1"/>
    <col min="19" max="19" width="11" bestFit="1" customWidth="1"/>
    <col min="20" max="20" width="10" bestFit="1" customWidth="1"/>
    <col min="21" max="21" width="11" bestFit="1" customWidth="1"/>
    <col min="22" max="23" width="10" bestFit="1" customWidth="1"/>
    <col min="24" max="24" width="11" bestFit="1" customWidth="1"/>
    <col min="25" max="26" width="10" bestFit="1" customWidth="1"/>
    <col min="27" max="27" width="11" bestFit="1" customWidth="1"/>
    <col min="28" max="28" width="10" bestFit="1" customWidth="1"/>
    <col min="29" max="29" width="11" bestFit="1" customWidth="1"/>
    <col min="30" max="31" width="8.81640625" bestFit="1" customWidth="1"/>
    <col min="32" max="32" width="11" bestFit="1" customWidth="1"/>
    <col min="33" max="33" width="8.81640625" bestFit="1" customWidth="1"/>
    <col min="34" max="34" width="10" bestFit="1" customWidth="1"/>
    <col min="35" max="35" width="8.81640625" bestFit="1" customWidth="1"/>
    <col min="36" max="36" width="10" bestFit="1" customWidth="1"/>
    <col min="37" max="37" width="11" bestFit="1" customWidth="1"/>
    <col min="38" max="38" width="10" bestFit="1" customWidth="1"/>
    <col min="39" max="39" width="8.81640625" bestFit="1" customWidth="1"/>
    <col min="40" max="40" width="11.453125" customWidth="1"/>
    <col min="41" max="41" width="10" bestFit="1" customWidth="1"/>
    <col min="42" max="42" width="11" bestFit="1" customWidth="1"/>
  </cols>
  <sheetData>
    <row r="1" spans="1:42" x14ac:dyDescent="0.35">
      <c r="A1" s="76" t="s">
        <v>113</v>
      </c>
      <c r="B1" s="76"/>
      <c r="C1" s="77"/>
      <c r="D1" s="81" t="s">
        <v>49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1" t="s">
        <v>51</v>
      </c>
      <c r="Q1" s="75" t="s">
        <v>50</v>
      </c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1" t="s">
        <v>53</v>
      </c>
      <c r="AD1" s="75" t="s">
        <v>52</v>
      </c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1" t="s">
        <v>66</v>
      </c>
    </row>
    <row r="2" spans="1:42" x14ac:dyDescent="0.35">
      <c r="A2" s="78"/>
      <c r="B2" s="78"/>
      <c r="C2" s="79"/>
      <c r="D2" s="13" t="s">
        <v>54</v>
      </c>
      <c r="E2" s="13" t="s">
        <v>55</v>
      </c>
      <c r="F2" s="13" t="s">
        <v>56</v>
      </c>
      <c r="G2" s="13" t="s">
        <v>57</v>
      </c>
      <c r="H2" s="13" t="s">
        <v>58</v>
      </c>
      <c r="I2" s="13" t="s">
        <v>59</v>
      </c>
      <c r="J2" s="13" t="s">
        <v>60</v>
      </c>
      <c r="K2" s="13" t="s">
        <v>61</v>
      </c>
      <c r="L2" s="13" t="s">
        <v>62</v>
      </c>
      <c r="M2" s="13" t="s">
        <v>63</v>
      </c>
      <c r="N2" s="13" t="s">
        <v>64</v>
      </c>
      <c r="O2" s="13" t="s">
        <v>65</v>
      </c>
      <c r="P2" s="71"/>
      <c r="Q2" s="13" t="s">
        <v>54</v>
      </c>
      <c r="R2" s="13" t="s">
        <v>55</v>
      </c>
      <c r="S2" s="13" t="s">
        <v>56</v>
      </c>
      <c r="T2" s="13" t="s">
        <v>57</v>
      </c>
      <c r="U2" s="13" t="s">
        <v>58</v>
      </c>
      <c r="V2" s="13" t="s">
        <v>59</v>
      </c>
      <c r="W2" s="13" t="s">
        <v>60</v>
      </c>
      <c r="X2" s="13" t="s">
        <v>61</v>
      </c>
      <c r="Y2" s="13" t="s">
        <v>62</v>
      </c>
      <c r="Z2" s="13" t="s">
        <v>63</v>
      </c>
      <c r="AA2" s="13" t="s">
        <v>64</v>
      </c>
      <c r="AB2" s="13" t="s">
        <v>65</v>
      </c>
      <c r="AC2" s="71"/>
      <c r="AD2" s="13" t="s">
        <v>54</v>
      </c>
      <c r="AE2" s="13" t="s">
        <v>55</v>
      </c>
      <c r="AF2" s="13" t="s">
        <v>56</v>
      </c>
      <c r="AG2" s="13" t="s">
        <v>57</v>
      </c>
      <c r="AH2" s="13" t="s">
        <v>58</v>
      </c>
      <c r="AI2" s="13" t="s">
        <v>59</v>
      </c>
      <c r="AJ2" s="13" t="s">
        <v>60</v>
      </c>
      <c r="AK2" s="13" t="s">
        <v>61</v>
      </c>
      <c r="AL2" s="13" t="s">
        <v>62</v>
      </c>
      <c r="AM2" s="13" t="s">
        <v>63</v>
      </c>
      <c r="AN2" s="13" t="s">
        <v>64</v>
      </c>
      <c r="AO2" s="13" t="s">
        <v>65</v>
      </c>
      <c r="AP2" s="71"/>
    </row>
    <row r="3" spans="1:42" x14ac:dyDescent="0.35">
      <c r="A3" s="20" t="s">
        <v>89</v>
      </c>
      <c r="B3" s="20" t="s">
        <v>90</v>
      </c>
      <c r="C3" s="20" t="s">
        <v>91</v>
      </c>
      <c r="D3" s="15">
        <v>45292</v>
      </c>
      <c r="E3" s="22">
        <v>45323</v>
      </c>
      <c r="F3" s="22">
        <v>45352</v>
      </c>
      <c r="G3" s="22">
        <v>45383</v>
      </c>
      <c r="H3" s="22">
        <v>45413</v>
      </c>
      <c r="I3" s="22">
        <v>45444</v>
      </c>
      <c r="J3" s="22">
        <v>45474</v>
      </c>
      <c r="K3" s="22">
        <v>45505</v>
      </c>
      <c r="L3" s="22">
        <v>45536</v>
      </c>
      <c r="M3" s="22">
        <v>45566</v>
      </c>
      <c r="N3" s="22">
        <v>45597</v>
      </c>
      <c r="O3" s="22">
        <v>45627</v>
      </c>
      <c r="P3" s="80"/>
      <c r="Q3" s="22">
        <v>45658</v>
      </c>
      <c r="R3" s="22">
        <v>45689</v>
      </c>
      <c r="S3" s="22">
        <v>45717</v>
      </c>
      <c r="T3" s="22">
        <v>45748</v>
      </c>
      <c r="U3" s="22">
        <v>45778</v>
      </c>
      <c r="V3" s="22">
        <v>45809</v>
      </c>
      <c r="W3" s="22">
        <v>45839</v>
      </c>
      <c r="X3" s="22">
        <v>45870</v>
      </c>
      <c r="Y3" s="22">
        <v>45901</v>
      </c>
      <c r="Z3" s="22">
        <v>45931</v>
      </c>
      <c r="AA3" s="22">
        <v>45962</v>
      </c>
      <c r="AB3" s="22">
        <v>45992</v>
      </c>
      <c r="AC3" s="80"/>
      <c r="AD3" s="22">
        <v>46023</v>
      </c>
      <c r="AE3" s="22">
        <v>46054</v>
      </c>
      <c r="AF3" s="22">
        <v>46082</v>
      </c>
      <c r="AG3" s="22">
        <v>46113</v>
      </c>
      <c r="AH3" s="22">
        <v>46143</v>
      </c>
      <c r="AI3" s="22">
        <v>46174</v>
      </c>
      <c r="AJ3" s="22">
        <v>46204</v>
      </c>
      <c r="AK3" s="22">
        <v>46235</v>
      </c>
      <c r="AL3" s="22">
        <v>46266</v>
      </c>
      <c r="AM3" s="22">
        <v>46296</v>
      </c>
      <c r="AN3" s="22">
        <v>46327</v>
      </c>
      <c r="AO3" s="22">
        <v>46357</v>
      </c>
      <c r="AP3" s="80"/>
    </row>
    <row r="4" spans="1:42" ht="43.5" x14ac:dyDescent="0.35">
      <c r="A4" s="60">
        <v>1</v>
      </c>
      <c r="B4" s="61" t="s">
        <v>92</v>
      </c>
      <c r="C4" s="25">
        <v>40000</v>
      </c>
      <c r="D4" s="47" t="s">
        <v>100</v>
      </c>
      <c r="E4" s="47" t="s">
        <v>100</v>
      </c>
      <c r="F4" s="47" t="s">
        <v>100</v>
      </c>
      <c r="G4" s="47" t="s">
        <v>100</v>
      </c>
      <c r="H4" s="47" t="s">
        <v>100</v>
      </c>
      <c r="I4" s="47" t="s">
        <v>100</v>
      </c>
      <c r="J4" s="47" t="s">
        <v>100</v>
      </c>
      <c r="K4" s="47" t="s">
        <v>100</v>
      </c>
      <c r="L4" s="47" t="s">
        <v>100</v>
      </c>
      <c r="M4" s="47" t="s">
        <v>100</v>
      </c>
      <c r="N4" s="47" t="s">
        <v>100</v>
      </c>
      <c r="O4" s="47" t="s">
        <v>100</v>
      </c>
      <c r="P4" s="48">
        <f>SUM(D4:O4)</f>
        <v>0</v>
      </c>
      <c r="Q4" s="48">
        <f>$C$4</f>
        <v>40000</v>
      </c>
      <c r="R4" s="48">
        <f t="shared" ref="R4:AB4" si="0">$C$4</f>
        <v>40000</v>
      </c>
      <c r="S4" s="48">
        <f t="shared" si="0"/>
        <v>40000</v>
      </c>
      <c r="T4" s="48">
        <f t="shared" si="0"/>
        <v>40000</v>
      </c>
      <c r="U4" s="48">
        <f t="shared" si="0"/>
        <v>40000</v>
      </c>
      <c r="V4" s="48">
        <f t="shared" si="0"/>
        <v>40000</v>
      </c>
      <c r="W4" s="48">
        <f t="shared" si="0"/>
        <v>40000</v>
      </c>
      <c r="X4" s="48">
        <f t="shared" si="0"/>
        <v>40000</v>
      </c>
      <c r="Y4" s="48">
        <f t="shared" si="0"/>
        <v>40000</v>
      </c>
      <c r="Z4" s="48">
        <f t="shared" si="0"/>
        <v>40000</v>
      </c>
      <c r="AA4" s="48">
        <f t="shared" si="0"/>
        <v>40000</v>
      </c>
      <c r="AB4" s="48">
        <f t="shared" si="0"/>
        <v>40000</v>
      </c>
      <c r="AC4" s="48">
        <f>SUM(Q4:AB4)</f>
        <v>480000</v>
      </c>
      <c r="AD4" s="48" t="s">
        <v>100</v>
      </c>
      <c r="AE4" s="48" t="s">
        <v>100</v>
      </c>
      <c r="AF4" s="48">
        <f>$C$4*(1+'Ключевые метрики'!$F$3)</f>
        <v>42848</v>
      </c>
      <c r="AG4" s="48" t="s">
        <v>100</v>
      </c>
      <c r="AH4" s="48" t="s">
        <v>100</v>
      </c>
      <c r="AI4" s="48" t="s">
        <v>100</v>
      </c>
      <c r="AJ4" s="48">
        <f>AF4</f>
        <v>42848</v>
      </c>
      <c r="AK4" s="48" t="s">
        <v>100</v>
      </c>
      <c r="AL4" s="48" t="s">
        <v>100</v>
      </c>
      <c r="AM4" s="48" t="s">
        <v>100</v>
      </c>
      <c r="AN4" s="48" t="s">
        <v>100</v>
      </c>
      <c r="AO4" s="48">
        <f>AF4</f>
        <v>42848</v>
      </c>
      <c r="AP4" s="48">
        <f>SUM(AD4:AO4)</f>
        <v>128544</v>
      </c>
    </row>
    <row r="5" spans="1:42" x14ac:dyDescent="0.35">
      <c r="A5" s="60">
        <v>2</v>
      </c>
      <c r="B5" s="61" t="s">
        <v>93</v>
      </c>
      <c r="C5" s="25">
        <v>70000</v>
      </c>
      <c r="D5" s="48" t="s">
        <v>100</v>
      </c>
      <c r="E5" s="48" t="s">
        <v>100</v>
      </c>
      <c r="F5" s="48" t="s">
        <v>100</v>
      </c>
      <c r="G5" s="48" t="s">
        <v>100</v>
      </c>
      <c r="H5" s="48" t="s">
        <v>100</v>
      </c>
      <c r="I5" s="48" t="s">
        <v>100</v>
      </c>
      <c r="J5" s="48" t="s">
        <v>100</v>
      </c>
      <c r="K5" s="48" t="s">
        <v>100</v>
      </c>
      <c r="L5" s="48" t="s">
        <v>100</v>
      </c>
      <c r="M5" s="48" t="s">
        <v>100</v>
      </c>
      <c r="N5" s="48" t="s">
        <v>100</v>
      </c>
      <c r="O5" s="48" t="s">
        <v>100</v>
      </c>
      <c r="P5" s="48">
        <f t="shared" ref="P5:P6" si="1">SUM(D5:O5)</f>
        <v>0</v>
      </c>
      <c r="Q5" s="48" t="s">
        <v>100</v>
      </c>
      <c r="R5" s="48" t="s">
        <v>100</v>
      </c>
      <c r="S5" s="48" t="s">
        <v>100</v>
      </c>
      <c r="T5" s="48" t="s">
        <v>100</v>
      </c>
      <c r="U5" s="48">
        <f>C5</f>
        <v>70000</v>
      </c>
      <c r="V5" s="48" t="s">
        <v>100</v>
      </c>
      <c r="W5" s="48" t="s">
        <v>100</v>
      </c>
      <c r="X5" s="48" t="s">
        <v>100</v>
      </c>
      <c r="Y5" s="48">
        <f>C5</f>
        <v>70000</v>
      </c>
      <c r="Z5" s="48" t="s">
        <v>100</v>
      </c>
      <c r="AA5" s="48" t="s">
        <v>100</v>
      </c>
      <c r="AB5" s="48" t="s">
        <v>100</v>
      </c>
      <c r="AC5" s="48">
        <f t="shared" ref="AC5:AC7" si="2">SUM(Q5:AB5)</f>
        <v>140000</v>
      </c>
      <c r="AD5" s="48" t="s">
        <v>100</v>
      </c>
      <c r="AE5" s="48" t="s">
        <v>100</v>
      </c>
      <c r="AF5" s="48" t="s">
        <v>100</v>
      </c>
      <c r="AG5" s="48" t="s">
        <v>100</v>
      </c>
      <c r="AH5" s="48">
        <f>C5*(1+'Ключевые метрики'!$F$3)</f>
        <v>74984</v>
      </c>
      <c r="AI5" s="48" t="s">
        <v>100</v>
      </c>
      <c r="AJ5" s="48" t="s">
        <v>100</v>
      </c>
      <c r="AK5" s="48" t="s">
        <v>100</v>
      </c>
      <c r="AL5" s="48">
        <f>AH5</f>
        <v>74984</v>
      </c>
      <c r="AM5" s="48" t="s">
        <v>100</v>
      </c>
      <c r="AN5" s="48" t="s">
        <v>100</v>
      </c>
      <c r="AO5" s="48" t="s">
        <v>100</v>
      </c>
      <c r="AP5" s="48">
        <f t="shared" ref="AP5:AP6" si="3">SUM(AD5:AO5)</f>
        <v>149968</v>
      </c>
    </row>
    <row r="6" spans="1:42" ht="43.5" x14ac:dyDescent="0.35">
      <c r="A6" s="60">
        <v>3</v>
      </c>
      <c r="B6" s="61" t="s">
        <v>123</v>
      </c>
      <c r="C6" s="25">
        <v>100000</v>
      </c>
      <c r="D6" s="48" t="s">
        <v>100</v>
      </c>
      <c r="E6" s="48" t="s">
        <v>100</v>
      </c>
      <c r="F6" s="48" t="s">
        <v>100</v>
      </c>
      <c r="G6" s="48" t="s">
        <v>100</v>
      </c>
      <c r="H6" s="48" t="s">
        <v>100</v>
      </c>
      <c r="I6" s="48" t="s">
        <v>100</v>
      </c>
      <c r="J6" s="48" t="s">
        <v>100</v>
      </c>
      <c r="K6" s="48" t="s">
        <v>100</v>
      </c>
      <c r="L6" s="48" t="s">
        <v>100</v>
      </c>
      <c r="M6" s="48" t="s">
        <v>100</v>
      </c>
      <c r="N6" s="48" t="s">
        <v>100</v>
      </c>
      <c r="O6" s="48" t="s">
        <v>100</v>
      </c>
      <c r="P6" s="48">
        <f t="shared" si="1"/>
        <v>0</v>
      </c>
      <c r="Q6" s="48" t="s">
        <v>100</v>
      </c>
      <c r="R6" s="48" t="s">
        <v>100</v>
      </c>
      <c r="S6" s="48">
        <v>0</v>
      </c>
      <c r="T6" s="48" t="s">
        <v>100</v>
      </c>
      <c r="U6" s="48">
        <f>$C$6*(1+'Ключевые метрики'!$F$3)</f>
        <v>107120</v>
      </c>
      <c r="V6" s="48" t="s">
        <v>100</v>
      </c>
      <c r="W6" s="48" t="s">
        <v>100</v>
      </c>
      <c r="X6" s="49"/>
      <c r="Y6" s="48" t="s">
        <v>100</v>
      </c>
      <c r="Z6" s="48" t="s">
        <v>100</v>
      </c>
      <c r="AA6" s="48">
        <f>$C$6*(1+'Ключевые метрики'!$F$3)</f>
        <v>107120</v>
      </c>
      <c r="AB6" s="48" t="s">
        <v>100</v>
      </c>
      <c r="AC6" s="48">
        <f t="shared" si="2"/>
        <v>214240</v>
      </c>
      <c r="AD6" s="48" t="s">
        <v>100</v>
      </c>
      <c r="AE6" s="48" t="s">
        <v>100</v>
      </c>
      <c r="AF6" s="48">
        <f>$AA$6*(1+'Ключевые метрики'!$F$3)</f>
        <v>114746.94399999999</v>
      </c>
      <c r="AG6" s="48" t="s">
        <v>100</v>
      </c>
      <c r="AH6" s="48" t="s">
        <v>100</v>
      </c>
      <c r="AI6" s="48" t="s">
        <v>100</v>
      </c>
      <c r="AJ6" s="48" t="s">
        <v>100</v>
      </c>
      <c r="AK6" s="48">
        <f>$AA$6*(1+'Ключевые метрики'!$F$3)</f>
        <v>114746.94399999999</v>
      </c>
      <c r="AL6" s="48" t="s">
        <v>100</v>
      </c>
      <c r="AM6" s="48" t="s">
        <v>100</v>
      </c>
      <c r="AN6" s="48">
        <f>$AA$6*(1+'Ключевые метрики'!$F$3)</f>
        <v>114746.94399999999</v>
      </c>
      <c r="AO6" s="48" t="s">
        <v>100</v>
      </c>
      <c r="AP6" s="48">
        <f t="shared" si="3"/>
        <v>344240.83199999994</v>
      </c>
    </row>
    <row r="7" spans="1:42" ht="29" x14ac:dyDescent="0.35">
      <c r="A7" s="60">
        <v>4</v>
      </c>
      <c r="B7" s="61" t="s">
        <v>94</v>
      </c>
      <c r="C7" s="25">
        <v>100000</v>
      </c>
      <c r="D7" s="48">
        <v>0</v>
      </c>
      <c r="E7" s="48">
        <v>0</v>
      </c>
      <c r="F7" s="48">
        <v>0</v>
      </c>
      <c r="G7" s="48">
        <f>C7</f>
        <v>100000</v>
      </c>
      <c r="H7" s="48">
        <v>0</v>
      </c>
      <c r="I7" s="48">
        <v>0</v>
      </c>
      <c r="J7" s="48">
        <v>0</v>
      </c>
      <c r="K7" s="48">
        <v>0</v>
      </c>
      <c r="L7" s="48">
        <f>C7</f>
        <v>100000</v>
      </c>
      <c r="M7" s="48">
        <v>0</v>
      </c>
      <c r="N7" s="48">
        <v>0</v>
      </c>
      <c r="O7" s="48">
        <v>0</v>
      </c>
      <c r="P7" s="48">
        <f>SUM(D7:O7)</f>
        <v>200000</v>
      </c>
      <c r="Q7" s="48">
        <v>0</v>
      </c>
      <c r="R7" s="48">
        <v>0</v>
      </c>
      <c r="S7" s="48">
        <v>0</v>
      </c>
      <c r="T7" s="48">
        <v>0</v>
      </c>
      <c r="U7" s="48">
        <v>0</v>
      </c>
      <c r="V7" s="48">
        <v>0</v>
      </c>
      <c r="W7" s="48">
        <v>0</v>
      </c>
      <c r="X7" s="48">
        <v>0</v>
      </c>
      <c r="Y7" s="48">
        <v>0</v>
      </c>
      <c r="Z7" s="48">
        <v>0</v>
      </c>
      <c r="AA7" s="48">
        <v>0</v>
      </c>
      <c r="AB7" s="48">
        <v>0</v>
      </c>
      <c r="AC7" s="48">
        <f t="shared" si="2"/>
        <v>0</v>
      </c>
      <c r="AD7" s="48">
        <v>0</v>
      </c>
      <c r="AE7" s="48">
        <v>0</v>
      </c>
      <c r="AF7" s="48">
        <v>0</v>
      </c>
      <c r="AG7" s="48">
        <v>0</v>
      </c>
      <c r="AH7" s="48">
        <v>0</v>
      </c>
      <c r="AI7" s="48">
        <v>0</v>
      </c>
      <c r="AJ7" s="48">
        <v>0</v>
      </c>
      <c r="AK7" s="48">
        <v>0</v>
      </c>
      <c r="AL7" s="48">
        <v>0</v>
      </c>
      <c r="AM7" s="48">
        <v>0</v>
      </c>
      <c r="AN7" s="48">
        <v>0</v>
      </c>
      <c r="AO7" s="48">
        <v>0</v>
      </c>
      <c r="AP7" s="48">
        <f>SUM(AD7:AO7)</f>
        <v>0</v>
      </c>
    </row>
    <row r="8" spans="1:42" ht="29" x14ac:dyDescent="0.35">
      <c r="A8" s="60"/>
      <c r="B8" s="62" t="s">
        <v>105</v>
      </c>
      <c r="C8" s="25"/>
      <c r="D8" s="48">
        <f>SUM(D4:D7)</f>
        <v>0</v>
      </c>
      <c r="E8" s="48">
        <f t="shared" ref="E8:O8" si="4">SUM(E4:E7)</f>
        <v>0</v>
      </c>
      <c r="F8" s="48">
        <f t="shared" si="4"/>
        <v>0</v>
      </c>
      <c r="G8" s="48">
        <f t="shared" si="4"/>
        <v>100000</v>
      </c>
      <c r="H8" s="48">
        <f t="shared" si="4"/>
        <v>0</v>
      </c>
      <c r="I8" s="48">
        <f t="shared" si="4"/>
        <v>0</v>
      </c>
      <c r="J8" s="48">
        <f t="shared" si="4"/>
        <v>0</v>
      </c>
      <c r="K8" s="48">
        <f t="shared" si="4"/>
        <v>0</v>
      </c>
      <c r="L8" s="48">
        <f t="shared" si="4"/>
        <v>100000</v>
      </c>
      <c r="M8" s="48">
        <f t="shared" si="4"/>
        <v>0</v>
      </c>
      <c r="N8" s="48">
        <f t="shared" si="4"/>
        <v>0</v>
      </c>
      <c r="O8" s="48">
        <f t="shared" si="4"/>
        <v>0</v>
      </c>
      <c r="P8" s="48">
        <f>SUM(D8:O8)</f>
        <v>200000</v>
      </c>
      <c r="Q8" s="48">
        <f t="shared" ref="Q8:AO8" si="5">SUM(Q4:Q6)</f>
        <v>40000</v>
      </c>
      <c r="R8" s="48">
        <f t="shared" si="5"/>
        <v>40000</v>
      </c>
      <c r="S8" s="48">
        <f>SUM(S4:S6)</f>
        <v>40000</v>
      </c>
      <c r="T8" s="48">
        <f t="shared" si="5"/>
        <v>40000</v>
      </c>
      <c r="U8" s="48">
        <f>SUM(U4:U6)</f>
        <v>217120</v>
      </c>
      <c r="V8" s="48">
        <f t="shared" si="5"/>
        <v>40000</v>
      </c>
      <c r="W8" s="48">
        <f t="shared" si="5"/>
        <v>40000</v>
      </c>
      <c r="X8" s="48">
        <f t="shared" si="5"/>
        <v>40000</v>
      </c>
      <c r="Y8" s="48">
        <f t="shared" si="5"/>
        <v>110000</v>
      </c>
      <c r="Z8" s="48">
        <f t="shared" si="5"/>
        <v>40000</v>
      </c>
      <c r="AA8" s="48">
        <f t="shared" si="5"/>
        <v>147120</v>
      </c>
      <c r="AB8" s="48">
        <f t="shared" si="5"/>
        <v>40000</v>
      </c>
      <c r="AC8" s="48">
        <f>SUM(Q8:AB8)</f>
        <v>834240</v>
      </c>
      <c r="AD8" s="48">
        <f t="shared" si="5"/>
        <v>0</v>
      </c>
      <c r="AE8" s="48">
        <f t="shared" si="5"/>
        <v>0</v>
      </c>
      <c r="AF8" s="48">
        <f>SUM(AF4:AF6)</f>
        <v>157594.94399999999</v>
      </c>
      <c r="AG8" s="48">
        <f t="shared" si="5"/>
        <v>0</v>
      </c>
      <c r="AH8" s="48">
        <f t="shared" si="5"/>
        <v>74984</v>
      </c>
      <c r="AI8" s="48">
        <f t="shared" si="5"/>
        <v>0</v>
      </c>
      <c r="AJ8" s="48">
        <f t="shared" si="5"/>
        <v>42848</v>
      </c>
      <c r="AK8" s="48">
        <f t="shared" si="5"/>
        <v>114746.94399999999</v>
      </c>
      <c r="AL8" s="48">
        <f t="shared" si="5"/>
        <v>74984</v>
      </c>
      <c r="AM8" s="48">
        <f>SUM(AM4:AM6)</f>
        <v>0</v>
      </c>
      <c r="AN8" s="48">
        <f t="shared" si="5"/>
        <v>114746.94399999999</v>
      </c>
      <c r="AO8" s="48">
        <f t="shared" si="5"/>
        <v>42848</v>
      </c>
      <c r="AP8" s="48">
        <f>SUM(AD8:AO8)</f>
        <v>622752.83200000005</v>
      </c>
    </row>
  </sheetData>
  <mergeCells count="7">
    <mergeCell ref="A1:C2"/>
    <mergeCell ref="AP1:AP3"/>
    <mergeCell ref="D1:O1"/>
    <mergeCell ref="P1:P3"/>
    <mergeCell ref="Q1:AB1"/>
    <mergeCell ref="AC1:AC3"/>
    <mergeCell ref="AD1:AO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CBAF4-F8E2-4C4D-9B5D-E5B0CEA6E2B7}">
  <dimension ref="A1:AN26"/>
  <sheetViews>
    <sheetView topLeftCell="R1" zoomScale="73" workbookViewId="0">
      <selection activeCell="C8" sqref="C8"/>
    </sheetView>
  </sheetViews>
  <sheetFormatPr defaultRowHeight="14.5" x14ac:dyDescent="0.35"/>
  <cols>
    <col min="1" max="1" width="30.08984375" customWidth="1"/>
    <col min="2" max="2" width="20.90625" bestFit="1" customWidth="1"/>
    <col min="3" max="3" width="15.08984375" bestFit="1" customWidth="1"/>
    <col min="4" max="11" width="11" bestFit="1" customWidth="1"/>
    <col min="12" max="13" width="11.54296875" bestFit="1" customWidth="1"/>
    <col min="14" max="14" width="17.08984375" bestFit="1" customWidth="1"/>
    <col min="15" max="16" width="11.54296875" bestFit="1" customWidth="1"/>
    <col min="17" max="26" width="12.453125" bestFit="1" customWidth="1"/>
    <col min="27" max="27" width="13.6328125" bestFit="1" customWidth="1"/>
    <col min="28" max="39" width="12.453125" bestFit="1" customWidth="1"/>
    <col min="40" max="40" width="16.08984375" bestFit="1" customWidth="1"/>
    <col min="41" max="41" width="15" bestFit="1" customWidth="1"/>
  </cols>
  <sheetData>
    <row r="1" spans="1:40" x14ac:dyDescent="0.35">
      <c r="A1" s="82" t="s">
        <v>70</v>
      </c>
      <c r="B1" s="86" t="s">
        <v>49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5" t="s">
        <v>51</v>
      </c>
      <c r="O1" s="86" t="s">
        <v>50</v>
      </c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5" t="s">
        <v>53</v>
      </c>
      <c r="AB1" s="86" t="s">
        <v>52</v>
      </c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5" t="s">
        <v>66</v>
      </c>
    </row>
    <row r="2" spans="1:40" x14ac:dyDescent="0.35">
      <c r="A2" s="83"/>
      <c r="B2" s="40" t="s">
        <v>54</v>
      </c>
      <c r="C2" s="40" t="s">
        <v>55</v>
      </c>
      <c r="D2" s="40" t="s">
        <v>56</v>
      </c>
      <c r="E2" s="40" t="s">
        <v>57</v>
      </c>
      <c r="F2" s="40" t="s">
        <v>58</v>
      </c>
      <c r="G2" s="40" t="s">
        <v>59</v>
      </c>
      <c r="H2" s="40" t="s">
        <v>60</v>
      </c>
      <c r="I2" s="40" t="s">
        <v>61</v>
      </c>
      <c r="J2" s="40" t="s">
        <v>62</v>
      </c>
      <c r="K2" s="40" t="s">
        <v>63</v>
      </c>
      <c r="L2" s="40" t="s">
        <v>64</v>
      </c>
      <c r="M2" s="40" t="s">
        <v>65</v>
      </c>
      <c r="N2" s="85"/>
      <c r="O2" s="40" t="s">
        <v>54</v>
      </c>
      <c r="P2" s="40" t="s">
        <v>55</v>
      </c>
      <c r="Q2" s="41" t="s">
        <v>56</v>
      </c>
      <c r="R2" s="42" t="s">
        <v>57</v>
      </c>
      <c r="S2" s="42" t="s">
        <v>58</v>
      </c>
      <c r="T2" s="40" t="s">
        <v>59</v>
      </c>
      <c r="U2" s="40" t="s">
        <v>60</v>
      </c>
      <c r="V2" s="40" t="s">
        <v>61</v>
      </c>
      <c r="W2" s="40" t="s">
        <v>62</v>
      </c>
      <c r="X2" s="40" t="s">
        <v>63</v>
      </c>
      <c r="Y2" s="40" t="s">
        <v>64</v>
      </c>
      <c r="Z2" s="40" t="s">
        <v>65</v>
      </c>
      <c r="AA2" s="85"/>
      <c r="AB2" s="40" t="s">
        <v>54</v>
      </c>
      <c r="AC2" s="40" t="s">
        <v>55</v>
      </c>
      <c r="AD2" s="40" t="s">
        <v>56</v>
      </c>
      <c r="AE2" s="40" t="s">
        <v>57</v>
      </c>
      <c r="AF2" s="40" t="s">
        <v>58</v>
      </c>
      <c r="AG2" s="40" t="s">
        <v>59</v>
      </c>
      <c r="AH2" s="40" t="s">
        <v>60</v>
      </c>
      <c r="AI2" s="40" t="s">
        <v>61</v>
      </c>
      <c r="AJ2" s="40" t="s">
        <v>62</v>
      </c>
      <c r="AK2" s="40" t="s">
        <v>63</v>
      </c>
      <c r="AL2" s="40" t="s">
        <v>64</v>
      </c>
      <c r="AM2" s="40" t="s">
        <v>65</v>
      </c>
      <c r="AN2" s="85"/>
    </row>
    <row r="3" spans="1:40" x14ac:dyDescent="0.35">
      <c r="A3" s="84"/>
      <c r="B3" s="15">
        <v>45292</v>
      </c>
      <c r="C3" s="22">
        <v>45323</v>
      </c>
      <c r="D3" s="22">
        <v>45352</v>
      </c>
      <c r="E3" s="22">
        <v>45383</v>
      </c>
      <c r="F3" s="22">
        <v>45413</v>
      </c>
      <c r="G3" s="22">
        <v>45444</v>
      </c>
      <c r="H3" s="22">
        <v>45474</v>
      </c>
      <c r="I3" s="22">
        <v>45505</v>
      </c>
      <c r="J3" s="22">
        <v>45536</v>
      </c>
      <c r="K3" s="22">
        <v>45566</v>
      </c>
      <c r="L3" s="22">
        <v>45597</v>
      </c>
      <c r="M3" s="22">
        <v>45627</v>
      </c>
      <c r="N3" s="85"/>
      <c r="O3" s="22">
        <v>45658</v>
      </c>
      <c r="P3" s="22">
        <v>45689</v>
      </c>
      <c r="Q3" s="22">
        <v>45717</v>
      </c>
      <c r="R3" s="22">
        <v>45748</v>
      </c>
      <c r="S3" s="22">
        <v>45778</v>
      </c>
      <c r="T3" s="22">
        <v>45809</v>
      </c>
      <c r="U3" s="22">
        <v>45839</v>
      </c>
      <c r="V3" s="22">
        <v>45870</v>
      </c>
      <c r="W3" s="22">
        <v>45901</v>
      </c>
      <c r="X3" s="22">
        <v>45931</v>
      </c>
      <c r="Y3" s="22">
        <v>45962</v>
      </c>
      <c r="Z3" s="22">
        <v>45992</v>
      </c>
      <c r="AA3" s="85"/>
      <c r="AB3" s="22">
        <v>46023</v>
      </c>
      <c r="AC3" s="22">
        <v>46054</v>
      </c>
      <c r="AD3" s="22">
        <v>46082</v>
      </c>
      <c r="AE3" s="22">
        <v>46113</v>
      </c>
      <c r="AF3" s="22">
        <v>46143</v>
      </c>
      <c r="AG3" s="22">
        <v>46174</v>
      </c>
      <c r="AH3" s="22">
        <v>46204</v>
      </c>
      <c r="AI3" s="22">
        <v>46235</v>
      </c>
      <c r="AJ3" s="22">
        <v>46266</v>
      </c>
      <c r="AK3" s="22">
        <v>46296</v>
      </c>
      <c r="AL3" s="22">
        <v>46327</v>
      </c>
      <c r="AM3" s="22">
        <v>46357</v>
      </c>
      <c r="AN3" s="85"/>
    </row>
    <row r="4" spans="1:40" ht="43.5" x14ac:dyDescent="0.35">
      <c r="A4" s="44" t="s">
        <v>125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>
        <v>36000</v>
      </c>
      <c r="P4" s="25">
        <v>36000</v>
      </c>
      <c r="Q4" s="35">
        <v>36000</v>
      </c>
      <c r="R4" s="35">
        <v>36000</v>
      </c>
      <c r="S4" s="35">
        <v>36000</v>
      </c>
      <c r="T4" s="25">
        <v>36000</v>
      </c>
      <c r="U4" s="25">
        <v>36000</v>
      </c>
      <c r="V4" s="25">
        <v>36000</v>
      </c>
      <c r="W4" s="25">
        <v>36000</v>
      </c>
      <c r="X4" s="25">
        <v>36000</v>
      </c>
      <c r="Y4" s="25">
        <v>36000</v>
      </c>
      <c r="Z4" s="25">
        <v>36000</v>
      </c>
      <c r="AA4" s="25">
        <v>36000</v>
      </c>
      <c r="AB4" s="25">
        <f>36000*(1+'Ключевые метрики'!$F$3)</f>
        <v>38563.199999999997</v>
      </c>
      <c r="AC4" s="25">
        <f>36000*(1+'Ключевые метрики'!$F$3)</f>
        <v>38563.199999999997</v>
      </c>
      <c r="AD4" s="25">
        <f>36000*(1+'Ключевые метрики'!$F$3)</f>
        <v>38563.199999999997</v>
      </c>
      <c r="AE4" s="25">
        <f>36000*(1+'Ключевые метрики'!$F$3)</f>
        <v>38563.199999999997</v>
      </c>
      <c r="AF4" s="25">
        <f>36000*(1+'Ключевые метрики'!$F$3)</f>
        <v>38563.199999999997</v>
      </c>
      <c r="AG4" s="25">
        <f>36000*(1+'Ключевые метрики'!$F$3)</f>
        <v>38563.199999999997</v>
      </c>
      <c r="AH4" s="25">
        <f>36000*(1+'Ключевые метрики'!$F$3)</f>
        <v>38563.199999999997</v>
      </c>
      <c r="AI4" s="25">
        <f>36000*(1+'Ключевые метрики'!$F$3)</f>
        <v>38563.199999999997</v>
      </c>
      <c r="AJ4" s="25">
        <f>36000*(1+'Ключевые метрики'!$F$3)</f>
        <v>38563.199999999997</v>
      </c>
      <c r="AK4" s="25">
        <f>36000*(1+'Ключевые метрики'!$F$3)</f>
        <v>38563.199999999997</v>
      </c>
      <c r="AL4" s="25">
        <f>36000*(1+'Ключевые метрики'!$F$3)</f>
        <v>38563.199999999997</v>
      </c>
      <c r="AM4" s="25">
        <f>36000*(1+'Ключевые метрики'!$F$3)</f>
        <v>38563.199999999997</v>
      </c>
      <c r="AN4" s="25">
        <f>36000*(1+'Ключевые метрики'!$F$3)</f>
        <v>38563.199999999997</v>
      </c>
    </row>
    <row r="5" spans="1:40" x14ac:dyDescent="0.35">
      <c r="A5" s="25" t="s">
        <v>71</v>
      </c>
      <c r="B5" s="25">
        <v>0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f>SUM(B5:M5)</f>
        <v>0</v>
      </c>
      <c r="O5" s="25">
        <v>14</v>
      </c>
      <c r="P5" s="25">
        <v>14</v>
      </c>
      <c r="Q5" s="35">
        <v>14</v>
      </c>
      <c r="R5" s="35">
        <v>16</v>
      </c>
      <c r="S5" s="35">
        <v>16</v>
      </c>
      <c r="T5" s="25">
        <v>16</v>
      </c>
      <c r="U5" s="25">
        <v>16</v>
      </c>
      <c r="V5" s="25">
        <v>16</v>
      </c>
      <c r="W5" s="25">
        <v>18</v>
      </c>
      <c r="X5" s="25">
        <v>18</v>
      </c>
      <c r="Y5" s="25">
        <v>18</v>
      </c>
      <c r="Z5" s="25">
        <v>18</v>
      </c>
      <c r="AA5" s="25">
        <f>SUM(O5:Z5)</f>
        <v>194</v>
      </c>
      <c r="AB5" s="25">
        <f>O5+20</f>
        <v>34</v>
      </c>
      <c r="AC5" s="25">
        <f t="shared" ref="AC5:AD5" si="0">P5+20</f>
        <v>34</v>
      </c>
      <c r="AD5" s="25">
        <f t="shared" si="0"/>
        <v>34</v>
      </c>
      <c r="AE5" s="25">
        <f>R5+22</f>
        <v>38</v>
      </c>
      <c r="AF5" s="25">
        <f t="shared" ref="AF5:AI5" si="1">S5+22</f>
        <v>38</v>
      </c>
      <c r="AG5" s="25">
        <f t="shared" si="1"/>
        <v>38</v>
      </c>
      <c r="AH5" s="25">
        <f t="shared" si="1"/>
        <v>38</v>
      </c>
      <c r="AI5" s="25">
        <f t="shared" si="1"/>
        <v>38</v>
      </c>
      <c r="AJ5" s="25">
        <f>W5+24</f>
        <v>42</v>
      </c>
      <c r="AK5" s="25">
        <f t="shared" ref="AK5:AM5" si="2">X5+24</f>
        <v>42</v>
      </c>
      <c r="AL5" s="25">
        <f t="shared" si="2"/>
        <v>42</v>
      </c>
      <c r="AM5" s="25">
        <f t="shared" si="2"/>
        <v>42</v>
      </c>
      <c r="AN5" s="25">
        <f>SUM(AB5:AM5)</f>
        <v>460</v>
      </c>
    </row>
    <row r="6" spans="1:40" x14ac:dyDescent="0.35">
      <c r="A6" s="25" t="s">
        <v>72</v>
      </c>
      <c r="B6" s="25">
        <f>B4*B5</f>
        <v>0</v>
      </c>
      <c r="C6" s="25">
        <f t="shared" ref="C6:AM6" si="3">C4*C5</f>
        <v>0</v>
      </c>
      <c r="D6" s="25">
        <f t="shared" si="3"/>
        <v>0</v>
      </c>
      <c r="E6" s="25">
        <f t="shared" si="3"/>
        <v>0</v>
      </c>
      <c r="F6" s="25">
        <f t="shared" si="3"/>
        <v>0</v>
      </c>
      <c r="G6" s="25">
        <f t="shared" si="3"/>
        <v>0</v>
      </c>
      <c r="H6" s="25">
        <f t="shared" si="3"/>
        <v>0</v>
      </c>
      <c r="I6" s="25">
        <f t="shared" si="3"/>
        <v>0</v>
      </c>
      <c r="J6" s="25">
        <f t="shared" si="3"/>
        <v>0</v>
      </c>
      <c r="K6" s="25">
        <f t="shared" si="3"/>
        <v>0</v>
      </c>
      <c r="L6" s="25">
        <f t="shared" si="3"/>
        <v>0</v>
      </c>
      <c r="M6" s="25">
        <f t="shared" si="3"/>
        <v>0</v>
      </c>
      <c r="N6" s="25">
        <f>SUM(L6:M6)</f>
        <v>0</v>
      </c>
      <c r="O6" s="25">
        <f t="shared" si="3"/>
        <v>504000</v>
      </c>
      <c r="P6" s="25">
        <f t="shared" si="3"/>
        <v>504000</v>
      </c>
      <c r="Q6" s="35">
        <f t="shared" si="3"/>
        <v>504000</v>
      </c>
      <c r="R6" s="35">
        <f t="shared" si="3"/>
        <v>576000</v>
      </c>
      <c r="S6" s="35">
        <f t="shared" si="3"/>
        <v>576000</v>
      </c>
      <c r="T6" s="25">
        <f t="shared" si="3"/>
        <v>576000</v>
      </c>
      <c r="U6" s="25">
        <f t="shared" si="3"/>
        <v>576000</v>
      </c>
      <c r="V6" s="25">
        <f t="shared" si="3"/>
        <v>576000</v>
      </c>
      <c r="W6" s="25">
        <f t="shared" si="3"/>
        <v>648000</v>
      </c>
      <c r="X6" s="25">
        <f t="shared" si="3"/>
        <v>648000</v>
      </c>
      <c r="Y6" s="25">
        <f t="shared" si="3"/>
        <v>648000</v>
      </c>
      <c r="Z6" s="25">
        <f t="shared" si="3"/>
        <v>648000</v>
      </c>
      <c r="AA6" s="25">
        <f>SUM(O6:Z6)</f>
        <v>6984000</v>
      </c>
      <c r="AB6" s="25">
        <f t="shared" si="3"/>
        <v>1311148.7999999998</v>
      </c>
      <c r="AC6" s="25">
        <f t="shared" si="3"/>
        <v>1311148.7999999998</v>
      </c>
      <c r="AD6" s="25">
        <f t="shared" si="3"/>
        <v>1311148.7999999998</v>
      </c>
      <c r="AE6" s="25">
        <f t="shared" si="3"/>
        <v>1465401.5999999999</v>
      </c>
      <c r="AF6" s="25">
        <f t="shared" si="3"/>
        <v>1465401.5999999999</v>
      </c>
      <c r="AG6" s="25">
        <f t="shared" si="3"/>
        <v>1465401.5999999999</v>
      </c>
      <c r="AH6" s="25">
        <f t="shared" si="3"/>
        <v>1465401.5999999999</v>
      </c>
      <c r="AI6" s="25">
        <f t="shared" si="3"/>
        <v>1465401.5999999999</v>
      </c>
      <c r="AJ6" s="25">
        <f t="shared" si="3"/>
        <v>1619654.4</v>
      </c>
      <c r="AK6" s="25">
        <f t="shared" si="3"/>
        <v>1619654.4</v>
      </c>
      <c r="AL6" s="25">
        <f t="shared" si="3"/>
        <v>1619654.4</v>
      </c>
      <c r="AM6" s="25">
        <f t="shared" si="3"/>
        <v>1619654.4</v>
      </c>
      <c r="AN6" s="25">
        <f>SUM(AB6:AM6)</f>
        <v>17739072</v>
      </c>
    </row>
    <row r="7" spans="1:40" x14ac:dyDescent="0.3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35"/>
      <c r="R7" s="35"/>
      <c r="S7" s="3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</row>
    <row r="8" spans="1:40" ht="45.5" customHeight="1" x14ac:dyDescent="0.35">
      <c r="A8" s="44" t="s">
        <v>126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35">
        <v>200000</v>
      </c>
      <c r="R8" s="35">
        <v>200000</v>
      </c>
      <c r="S8" s="35">
        <v>200000</v>
      </c>
      <c r="T8" s="25">
        <v>200000</v>
      </c>
      <c r="U8" s="25">
        <v>200000</v>
      </c>
      <c r="V8" s="25">
        <v>200000</v>
      </c>
      <c r="W8" s="25">
        <v>200000</v>
      </c>
      <c r="X8" s="25">
        <v>200000</v>
      </c>
      <c r="Y8" s="25">
        <v>200000</v>
      </c>
      <c r="Z8" s="25">
        <v>200000</v>
      </c>
      <c r="AA8" s="25">
        <v>200000</v>
      </c>
      <c r="AB8" s="25">
        <f>200000*(1+'Ключевые метрики'!$F$3)</f>
        <v>214240</v>
      </c>
      <c r="AC8" s="25">
        <f>200000*(1+'Ключевые метрики'!$F$3)</f>
        <v>214240</v>
      </c>
      <c r="AD8" s="25">
        <f>200000*(1+'Ключевые метрики'!$F$3)</f>
        <v>214240</v>
      </c>
      <c r="AE8" s="25">
        <f>200000*(1+'Ключевые метрики'!$F$3)</f>
        <v>214240</v>
      </c>
      <c r="AF8" s="25">
        <f>200000*(1+'Ключевые метрики'!$F$3)</f>
        <v>214240</v>
      </c>
      <c r="AG8" s="25">
        <f>200000*(1+'Ключевые метрики'!$F$3)</f>
        <v>214240</v>
      </c>
      <c r="AH8" s="25">
        <f>200000*(1+'Ключевые метрики'!$F$3)</f>
        <v>214240</v>
      </c>
      <c r="AI8" s="25">
        <f>200000*(1+'Ключевые метрики'!$F$3)</f>
        <v>214240</v>
      </c>
      <c r="AJ8" s="25">
        <f>200000*(1+'Ключевые метрики'!$F$3)</f>
        <v>214240</v>
      </c>
      <c r="AK8" s="25">
        <f>200000*(1+'Ключевые метрики'!$F$3)</f>
        <v>214240</v>
      </c>
      <c r="AL8" s="25">
        <f>200000*(1+'Ключевые метрики'!$F$3)</f>
        <v>214240</v>
      </c>
      <c r="AM8" s="25">
        <f>200000*(1+'Ключевые метрики'!$F$3)</f>
        <v>214240</v>
      </c>
      <c r="AN8" s="25">
        <f>200000*(1+'Ключевые метрики'!$F$3)</f>
        <v>214240</v>
      </c>
    </row>
    <row r="9" spans="1:40" x14ac:dyDescent="0.35">
      <c r="A9" s="25" t="s">
        <v>71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f>SUM(B9:M9)</f>
        <v>0</v>
      </c>
      <c r="O9" s="25">
        <f t="shared" ref="O9:R9" si="4">SUM(C9:N9)</f>
        <v>0</v>
      </c>
      <c r="P9" s="25">
        <v>0</v>
      </c>
      <c r="Q9" s="35">
        <v>1</v>
      </c>
      <c r="R9" s="35">
        <f t="shared" si="4"/>
        <v>1</v>
      </c>
      <c r="S9" s="35">
        <v>1</v>
      </c>
      <c r="T9" s="25">
        <v>2</v>
      </c>
      <c r="U9" s="25">
        <v>2</v>
      </c>
      <c r="V9" s="25">
        <v>2</v>
      </c>
      <c r="W9" s="25">
        <v>2</v>
      </c>
      <c r="X9" s="25">
        <v>3</v>
      </c>
      <c r="Y9" s="25">
        <v>3</v>
      </c>
      <c r="Z9" s="25">
        <v>3</v>
      </c>
      <c r="AA9" s="25">
        <f>SUM(O9:Z9)</f>
        <v>20</v>
      </c>
      <c r="AB9" s="25">
        <v>4</v>
      </c>
      <c r="AC9" s="25">
        <v>4</v>
      </c>
      <c r="AD9" s="25">
        <f>Q9+6</f>
        <v>7</v>
      </c>
      <c r="AE9" s="25">
        <f>R9+6</f>
        <v>7</v>
      </c>
      <c r="AF9" s="25">
        <f>S9+6</f>
        <v>7</v>
      </c>
      <c r="AG9" s="25">
        <f>T9+7</f>
        <v>9</v>
      </c>
      <c r="AH9" s="25">
        <f>U9+7</f>
        <v>9</v>
      </c>
      <c r="AI9" s="25">
        <f>V9+7</f>
        <v>9</v>
      </c>
      <c r="AJ9" s="25">
        <f>W9+7</f>
        <v>9</v>
      </c>
      <c r="AK9" s="25">
        <f>X9+8</f>
        <v>11</v>
      </c>
      <c r="AL9" s="25">
        <f>Y9+8</f>
        <v>11</v>
      </c>
      <c r="AM9" s="25">
        <f>Z9+8</f>
        <v>11</v>
      </c>
      <c r="AN9" s="25">
        <f>SUM(AB9:AM9)</f>
        <v>98</v>
      </c>
    </row>
    <row r="10" spans="1:40" x14ac:dyDescent="0.35">
      <c r="A10" s="25" t="s">
        <v>73</v>
      </c>
      <c r="B10" s="25">
        <f>B8*B9</f>
        <v>0</v>
      </c>
      <c r="C10" s="25">
        <f t="shared" ref="C10" si="5">C8*C9</f>
        <v>0</v>
      </c>
      <c r="D10" s="25">
        <f t="shared" ref="D10" si="6">D8*D9</f>
        <v>0</v>
      </c>
      <c r="E10" s="25">
        <f t="shared" ref="E10" si="7">E8*E9</f>
        <v>0</v>
      </c>
      <c r="F10" s="25">
        <f t="shared" ref="F10" si="8">F8*F9</f>
        <v>0</v>
      </c>
      <c r="G10" s="25">
        <f t="shared" ref="G10" si="9">G8*G9</f>
        <v>0</v>
      </c>
      <c r="H10" s="25">
        <f t="shared" ref="H10" si="10">H8*H9</f>
        <v>0</v>
      </c>
      <c r="I10" s="25">
        <f t="shared" ref="I10" si="11">I8*I9</f>
        <v>0</v>
      </c>
      <c r="J10" s="25">
        <f t="shared" ref="J10" si="12">J8*J9</f>
        <v>0</v>
      </c>
      <c r="K10" s="25">
        <f t="shared" ref="K10" si="13">K8*K9</f>
        <v>0</v>
      </c>
      <c r="L10" s="25">
        <f t="shared" ref="L10" si="14">L8*L9</f>
        <v>0</v>
      </c>
      <c r="M10" s="25">
        <f t="shared" ref="M10" si="15">M8*M9</f>
        <v>0</v>
      </c>
      <c r="N10" s="25">
        <f t="shared" ref="N10" si="16">N8*N9</f>
        <v>0</v>
      </c>
      <c r="O10" s="25">
        <f t="shared" ref="O10" si="17">O8*O9</f>
        <v>0</v>
      </c>
      <c r="P10" s="25">
        <f t="shared" ref="P10" si="18">P8*P9</f>
        <v>0</v>
      </c>
      <c r="Q10" s="35">
        <f t="shared" ref="Q10" si="19">Q8*Q9</f>
        <v>200000</v>
      </c>
      <c r="R10" s="35">
        <f t="shared" ref="R10" si="20">R8*R9</f>
        <v>200000</v>
      </c>
      <c r="S10" s="35">
        <f t="shared" ref="S10" si="21">S8*S9</f>
        <v>200000</v>
      </c>
      <c r="T10" s="25">
        <f t="shared" ref="T10" si="22">T8*T9</f>
        <v>400000</v>
      </c>
      <c r="U10" s="25">
        <f t="shared" ref="U10" si="23">U8*U9</f>
        <v>400000</v>
      </c>
      <c r="V10" s="25">
        <f t="shared" ref="V10" si="24">V8*V9</f>
        <v>400000</v>
      </c>
      <c r="W10" s="25">
        <f t="shared" ref="W10" si="25">W8*W9</f>
        <v>400000</v>
      </c>
      <c r="X10" s="25">
        <f t="shared" ref="X10" si="26">X8*X9</f>
        <v>600000</v>
      </c>
      <c r="Y10" s="25">
        <f t="shared" ref="Y10" si="27">Y8*Y9</f>
        <v>600000</v>
      </c>
      <c r="Z10" s="25">
        <f t="shared" ref="Z10" si="28">Z8*Z9</f>
        <v>600000</v>
      </c>
      <c r="AA10" s="25">
        <f>SUM(O10:Z10)</f>
        <v>4000000</v>
      </c>
      <c r="AB10" s="25">
        <f t="shared" ref="AB10" si="29">AB8*AB9</f>
        <v>856960</v>
      </c>
      <c r="AC10" s="25">
        <f t="shared" ref="AC10" si="30">AC8*AC9</f>
        <v>856960</v>
      </c>
      <c r="AD10" s="25">
        <f t="shared" ref="AD10" si="31">AD8*AD9</f>
        <v>1499680</v>
      </c>
      <c r="AE10" s="25">
        <f t="shared" ref="AE10" si="32">AE8*AE9</f>
        <v>1499680</v>
      </c>
      <c r="AF10" s="25">
        <f t="shared" ref="AF10" si="33">AF8*AF9</f>
        <v>1499680</v>
      </c>
      <c r="AG10" s="25">
        <f t="shared" ref="AG10" si="34">AG8*AG9</f>
        <v>1928160</v>
      </c>
      <c r="AH10" s="25">
        <f t="shared" ref="AH10" si="35">AH8*AH9</f>
        <v>1928160</v>
      </c>
      <c r="AI10" s="25">
        <f t="shared" ref="AI10" si="36">AI8*AI9</f>
        <v>1928160</v>
      </c>
      <c r="AJ10" s="25">
        <f t="shared" ref="AJ10" si="37">AJ8*AJ9</f>
        <v>1928160</v>
      </c>
      <c r="AK10" s="25">
        <f t="shared" ref="AK10" si="38">AK8*AK9</f>
        <v>2356640</v>
      </c>
      <c r="AL10" s="25">
        <f t="shared" ref="AL10" si="39">AL8*AL9</f>
        <v>2356640</v>
      </c>
      <c r="AM10" s="25">
        <f t="shared" ref="AM10" si="40">AM8*AM9</f>
        <v>2356640</v>
      </c>
      <c r="AN10" s="25">
        <f>SUM(AB10:AM10)</f>
        <v>20995520</v>
      </c>
    </row>
    <row r="11" spans="1:40" x14ac:dyDescent="0.3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35"/>
      <c r="R11" s="35"/>
      <c r="S11" s="3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</row>
    <row r="12" spans="1:40" ht="43.5" x14ac:dyDescent="0.35">
      <c r="A12" s="43" t="s">
        <v>124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35">
        <v>50000</v>
      </c>
      <c r="R12" s="35">
        <v>50000</v>
      </c>
      <c r="S12" s="35">
        <v>50000</v>
      </c>
      <c r="T12" s="25">
        <v>50000</v>
      </c>
      <c r="U12" s="25">
        <v>50000</v>
      </c>
      <c r="V12" s="25">
        <v>50000</v>
      </c>
      <c r="W12" s="25">
        <v>50000</v>
      </c>
      <c r="X12" s="25">
        <v>50000</v>
      </c>
      <c r="Y12" s="25">
        <v>50000</v>
      </c>
      <c r="Z12" s="25">
        <v>50000</v>
      </c>
      <c r="AA12" s="25">
        <v>50000</v>
      </c>
      <c r="AB12" s="25">
        <f>50000*(1+'Ключевые метрики'!$F$3)</f>
        <v>53560</v>
      </c>
      <c r="AC12" s="25">
        <f>50000*(1+'Ключевые метрики'!$F$3)</f>
        <v>53560</v>
      </c>
      <c r="AD12" s="25">
        <f>50000*(1+'Ключевые метрики'!$F$3)</f>
        <v>53560</v>
      </c>
      <c r="AE12" s="25">
        <f>50000*(1+'Ключевые метрики'!$F$3)</f>
        <v>53560</v>
      </c>
      <c r="AF12" s="25">
        <f>50000*(1+'Ключевые метрики'!$F$3)</f>
        <v>53560</v>
      </c>
      <c r="AG12" s="25">
        <f>50000*(1+'Ключевые метрики'!$F$3)</f>
        <v>53560</v>
      </c>
      <c r="AH12" s="25">
        <f>50000*(1+'Ключевые метрики'!$F$3)</f>
        <v>53560</v>
      </c>
      <c r="AI12" s="25">
        <f>50000*(1+'Ключевые метрики'!$F$3)</f>
        <v>53560</v>
      </c>
      <c r="AJ12" s="25">
        <f>50000*(1+'Ключевые метрики'!$F$3)</f>
        <v>53560</v>
      </c>
      <c r="AK12" s="25">
        <f>50000*(1+'Ключевые метрики'!$F$3)</f>
        <v>53560</v>
      </c>
      <c r="AL12" s="25">
        <f>50000*(1+'Ключевые метрики'!$F$3)</f>
        <v>53560</v>
      </c>
      <c r="AM12" s="25">
        <f>50000*(1+'Ключевые метрики'!$F$3)</f>
        <v>53560</v>
      </c>
      <c r="AN12" s="25">
        <f>50000*(1+'Ключевые метрики'!$F$3)</f>
        <v>53560</v>
      </c>
    </row>
    <row r="13" spans="1:40" x14ac:dyDescent="0.35">
      <c r="A13" s="25" t="s">
        <v>71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f>SUM(B13:M13)</f>
        <v>0</v>
      </c>
      <c r="O13" s="25">
        <v>0</v>
      </c>
      <c r="P13" s="25">
        <v>0</v>
      </c>
      <c r="Q13" s="35">
        <v>1</v>
      </c>
      <c r="R13" s="35">
        <v>1</v>
      </c>
      <c r="S13" s="35">
        <v>1</v>
      </c>
      <c r="T13" s="25">
        <v>2</v>
      </c>
      <c r="U13" s="25">
        <v>2</v>
      </c>
      <c r="V13" s="25">
        <v>2</v>
      </c>
      <c r="W13" s="25">
        <v>2</v>
      </c>
      <c r="X13" s="25">
        <v>3</v>
      </c>
      <c r="Y13" s="25">
        <v>3</v>
      </c>
      <c r="Z13" s="25">
        <v>3</v>
      </c>
      <c r="AA13" s="25">
        <f>SUM(O13:Z13)</f>
        <v>20</v>
      </c>
      <c r="AB13" s="25">
        <v>6</v>
      </c>
      <c r="AC13" s="25">
        <v>6</v>
      </c>
      <c r="AD13" s="25">
        <v>6</v>
      </c>
      <c r="AE13" s="25">
        <v>6</v>
      </c>
      <c r="AF13" s="25">
        <v>6</v>
      </c>
      <c r="AG13" s="25">
        <v>7</v>
      </c>
      <c r="AH13" s="25">
        <v>7</v>
      </c>
      <c r="AI13" s="25">
        <v>7</v>
      </c>
      <c r="AJ13" s="25">
        <v>7</v>
      </c>
      <c r="AK13" s="25">
        <v>8</v>
      </c>
      <c r="AL13" s="25">
        <v>8</v>
      </c>
      <c r="AM13" s="25">
        <v>8</v>
      </c>
      <c r="AN13" s="25">
        <f>SUM(AB13:AM13)</f>
        <v>82</v>
      </c>
    </row>
    <row r="14" spans="1:40" x14ac:dyDescent="0.35">
      <c r="A14" s="25" t="s">
        <v>99</v>
      </c>
      <c r="B14" s="25">
        <f>B12*B13</f>
        <v>0</v>
      </c>
      <c r="C14" s="25">
        <f t="shared" ref="C14:N14" si="41">C12*C13</f>
        <v>0</v>
      </c>
      <c r="D14" s="25">
        <f t="shared" si="41"/>
        <v>0</v>
      </c>
      <c r="E14" s="25">
        <f t="shared" si="41"/>
        <v>0</v>
      </c>
      <c r="F14" s="25">
        <f t="shared" si="41"/>
        <v>0</v>
      </c>
      <c r="G14" s="25">
        <f t="shared" si="41"/>
        <v>0</v>
      </c>
      <c r="H14" s="25">
        <f t="shared" si="41"/>
        <v>0</v>
      </c>
      <c r="I14" s="25">
        <f t="shared" si="41"/>
        <v>0</v>
      </c>
      <c r="J14" s="25">
        <f t="shared" si="41"/>
        <v>0</v>
      </c>
      <c r="K14" s="25">
        <f t="shared" si="41"/>
        <v>0</v>
      </c>
      <c r="L14" s="25">
        <f t="shared" si="41"/>
        <v>0</v>
      </c>
      <c r="M14" s="25">
        <f t="shared" si="41"/>
        <v>0</v>
      </c>
      <c r="N14" s="25">
        <f t="shared" si="41"/>
        <v>0</v>
      </c>
      <c r="O14" s="25">
        <f t="shared" ref="O14" si="42">O12*O13</f>
        <v>0</v>
      </c>
      <c r="P14" s="25">
        <f t="shared" ref="P14" si="43">P12*P13</f>
        <v>0</v>
      </c>
      <c r="Q14" s="35">
        <f t="shared" ref="Q14" si="44">Q12*Q13</f>
        <v>50000</v>
      </c>
      <c r="R14" s="35">
        <f t="shared" ref="R14" si="45">R12*R13</f>
        <v>50000</v>
      </c>
      <c r="S14" s="35">
        <f t="shared" ref="S14" si="46">S12*S13</f>
        <v>50000</v>
      </c>
      <c r="T14" s="25">
        <f t="shared" ref="T14" si="47">T12*T13</f>
        <v>100000</v>
      </c>
      <c r="U14" s="25">
        <f t="shared" ref="U14" si="48">U12*U13</f>
        <v>100000</v>
      </c>
      <c r="V14" s="25">
        <f t="shared" ref="V14" si="49">V12*V13</f>
        <v>100000</v>
      </c>
      <c r="W14" s="25">
        <f t="shared" ref="W14" si="50">W12*W13</f>
        <v>100000</v>
      </c>
      <c r="X14" s="25">
        <f t="shared" ref="X14" si="51">X12*X13</f>
        <v>150000</v>
      </c>
      <c r="Y14" s="25">
        <f t="shared" ref="Y14" si="52">Y12*Y13</f>
        <v>150000</v>
      </c>
      <c r="Z14" s="25">
        <f t="shared" ref="Z14" si="53">Z12*Z13</f>
        <v>150000</v>
      </c>
      <c r="AA14" s="25">
        <f>SUM(O14:Z14)</f>
        <v>1000000</v>
      </c>
      <c r="AB14" s="25">
        <f t="shared" ref="AB14" si="54">AB12*AB13</f>
        <v>321360</v>
      </c>
      <c r="AC14" s="25">
        <f t="shared" ref="AC14" si="55">AC12*AC13</f>
        <v>321360</v>
      </c>
      <c r="AD14" s="25">
        <f t="shared" ref="AD14" si="56">AD12*AD13</f>
        <v>321360</v>
      </c>
      <c r="AE14" s="25">
        <f t="shared" ref="AE14" si="57">AE12*AE13</f>
        <v>321360</v>
      </c>
      <c r="AF14" s="25">
        <f t="shared" ref="AF14" si="58">AF12*AF13</f>
        <v>321360</v>
      </c>
      <c r="AG14" s="25">
        <f t="shared" ref="AG14" si="59">AG12*AG13</f>
        <v>374920</v>
      </c>
      <c r="AH14" s="25">
        <f t="shared" ref="AH14" si="60">AH12*AH13</f>
        <v>374920</v>
      </c>
      <c r="AI14" s="25">
        <f t="shared" ref="AI14" si="61">AI12*AI13</f>
        <v>374920</v>
      </c>
      <c r="AJ14" s="25">
        <f t="shared" ref="AJ14" si="62">AJ12*AJ13</f>
        <v>374920</v>
      </c>
      <c r="AK14" s="25">
        <f t="shared" ref="AK14" si="63">AK12*AK13</f>
        <v>428480</v>
      </c>
      <c r="AL14" s="25">
        <f t="shared" ref="AL14" si="64">AL12*AL13</f>
        <v>428480</v>
      </c>
      <c r="AM14" s="25">
        <f t="shared" ref="AM14" si="65">AM12*AM13</f>
        <v>428480</v>
      </c>
      <c r="AN14" s="25">
        <f>SUM(AB14:AM14)</f>
        <v>4391920</v>
      </c>
    </row>
    <row r="15" spans="1:40" x14ac:dyDescent="0.3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35"/>
      <c r="R15" s="35"/>
      <c r="S15" s="3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</row>
    <row r="16" spans="1:40" ht="35.5" customHeight="1" x14ac:dyDescent="0.35">
      <c r="A16" s="44" t="s">
        <v>127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>
        <v>30000</v>
      </c>
      <c r="P16" s="25">
        <v>30000</v>
      </c>
      <c r="Q16" s="35">
        <v>30000</v>
      </c>
      <c r="R16" s="35">
        <v>30000</v>
      </c>
      <c r="S16" s="35">
        <v>30000</v>
      </c>
      <c r="T16" s="25">
        <v>30000</v>
      </c>
      <c r="U16" s="25">
        <v>30000</v>
      </c>
      <c r="V16" s="25">
        <v>30000</v>
      </c>
      <c r="W16" s="25">
        <v>30000</v>
      </c>
      <c r="X16" s="25">
        <v>30000</v>
      </c>
      <c r="Y16" s="25">
        <v>30000</v>
      </c>
      <c r="Z16" s="25">
        <v>30000</v>
      </c>
      <c r="AA16" s="25">
        <v>30000</v>
      </c>
      <c r="AB16" s="25">
        <f>30000*(1+'Ключевые метрики'!$F$3)</f>
        <v>32135.999999999996</v>
      </c>
      <c r="AC16" s="25">
        <f>30000*(1+'Ключевые метрики'!$F$3)</f>
        <v>32135.999999999996</v>
      </c>
      <c r="AD16" s="25">
        <f>30000*(1+'Ключевые метрики'!$F$3)</f>
        <v>32135.999999999996</v>
      </c>
      <c r="AE16" s="25">
        <f>30000*(1+'Ключевые метрики'!$F$3)</f>
        <v>32135.999999999996</v>
      </c>
      <c r="AF16" s="25">
        <f>30000*(1+'Ключевые метрики'!$F$3)</f>
        <v>32135.999999999996</v>
      </c>
      <c r="AG16" s="25">
        <f>30000*(1+'Ключевые метрики'!$F$3)</f>
        <v>32135.999999999996</v>
      </c>
      <c r="AH16" s="25">
        <f>30000*(1+'Ключевые метрики'!$F$3)</f>
        <v>32135.999999999996</v>
      </c>
      <c r="AI16" s="25">
        <f>30000*(1+'Ключевые метрики'!$F$3)</f>
        <v>32135.999999999996</v>
      </c>
      <c r="AJ16" s="25">
        <f>30000*(1+'Ключевые метрики'!$F$3)</f>
        <v>32135.999999999996</v>
      </c>
      <c r="AK16" s="25">
        <f>30000*(1+'Ключевые метрики'!$F$3)</f>
        <v>32135.999999999996</v>
      </c>
      <c r="AL16" s="25">
        <f>30000*(1+'Ключевые метрики'!$F$3)</f>
        <v>32135.999999999996</v>
      </c>
      <c r="AM16" s="25">
        <f>30000*(1+'Ключевые метрики'!$F$3)</f>
        <v>32135.999999999996</v>
      </c>
      <c r="AN16" s="25">
        <f>30000*(1+'Ключевые метрики'!$F$3)</f>
        <v>32135.999999999996</v>
      </c>
    </row>
    <row r="17" spans="1:40" x14ac:dyDescent="0.35">
      <c r="A17" s="25" t="s">
        <v>71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f>SUM(L17:M17)</f>
        <v>0</v>
      </c>
      <c r="O17" s="25">
        <v>2</v>
      </c>
      <c r="P17" s="25">
        <v>2</v>
      </c>
      <c r="Q17" s="35">
        <v>2</v>
      </c>
      <c r="R17" s="35">
        <v>2</v>
      </c>
      <c r="S17" s="35">
        <v>2</v>
      </c>
      <c r="T17" s="25">
        <v>2</v>
      </c>
      <c r="U17" s="25">
        <v>2</v>
      </c>
      <c r="V17" s="25">
        <v>2</v>
      </c>
      <c r="W17" s="25">
        <v>2</v>
      </c>
      <c r="X17" s="25">
        <v>3</v>
      </c>
      <c r="Y17" s="25">
        <v>3</v>
      </c>
      <c r="Z17" s="25">
        <v>3</v>
      </c>
      <c r="AA17" s="25">
        <f>SUM(O17:Z17)</f>
        <v>27</v>
      </c>
      <c r="AB17" s="25">
        <v>3</v>
      </c>
      <c r="AC17" s="25">
        <v>3</v>
      </c>
      <c r="AD17" s="25">
        <v>3</v>
      </c>
      <c r="AE17" s="25">
        <v>4</v>
      </c>
      <c r="AF17" s="25">
        <v>4</v>
      </c>
      <c r="AG17" s="25">
        <v>4</v>
      </c>
      <c r="AH17" s="25">
        <v>4</v>
      </c>
      <c r="AI17" s="25">
        <v>4</v>
      </c>
      <c r="AJ17" s="25">
        <v>4</v>
      </c>
      <c r="AK17" s="25">
        <v>4</v>
      </c>
      <c r="AL17" s="25">
        <v>4</v>
      </c>
      <c r="AM17" s="25">
        <v>4</v>
      </c>
      <c r="AN17" s="25">
        <f>SUM(AB17:AM17)</f>
        <v>45</v>
      </c>
    </row>
    <row r="18" spans="1:40" x14ac:dyDescent="0.35">
      <c r="A18" s="25" t="s">
        <v>130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f>L16*L17</f>
        <v>0</v>
      </c>
      <c r="M18" s="25">
        <f>M16*M17</f>
        <v>0</v>
      </c>
      <c r="N18" s="25">
        <f>SUM(L18:M18)</f>
        <v>0</v>
      </c>
      <c r="O18" s="25">
        <f>O16*O17</f>
        <v>60000</v>
      </c>
      <c r="P18" s="25">
        <f t="shared" ref="P18:Z18" si="66">P16*P17</f>
        <v>60000</v>
      </c>
      <c r="Q18" s="35">
        <f t="shared" si="66"/>
        <v>60000</v>
      </c>
      <c r="R18" s="35">
        <f t="shared" si="66"/>
        <v>60000</v>
      </c>
      <c r="S18" s="35">
        <f t="shared" si="66"/>
        <v>60000</v>
      </c>
      <c r="T18" s="25">
        <f t="shared" si="66"/>
        <v>60000</v>
      </c>
      <c r="U18" s="25">
        <f t="shared" si="66"/>
        <v>60000</v>
      </c>
      <c r="V18" s="25">
        <f t="shared" si="66"/>
        <v>60000</v>
      </c>
      <c r="W18" s="25">
        <f t="shared" si="66"/>
        <v>60000</v>
      </c>
      <c r="X18" s="25">
        <f t="shared" si="66"/>
        <v>90000</v>
      </c>
      <c r="Y18" s="25">
        <f t="shared" si="66"/>
        <v>90000</v>
      </c>
      <c r="Z18" s="25">
        <f t="shared" si="66"/>
        <v>90000</v>
      </c>
      <c r="AA18" s="25">
        <f>SUM(O18:Z18)</f>
        <v>810000</v>
      </c>
      <c r="AB18" s="25">
        <f>AB16*AB17</f>
        <v>96407.999999999985</v>
      </c>
      <c r="AC18" s="25">
        <f t="shared" ref="AC18:AM18" si="67">AC16*AC17</f>
        <v>96407.999999999985</v>
      </c>
      <c r="AD18" s="25">
        <f t="shared" si="67"/>
        <v>96407.999999999985</v>
      </c>
      <c r="AE18" s="25">
        <f t="shared" si="67"/>
        <v>128543.99999999999</v>
      </c>
      <c r="AF18" s="25">
        <f t="shared" si="67"/>
        <v>128543.99999999999</v>
      </c>
      <c r="AG18" s="25">
        <f t="shared" si="67"/>
        <v>128543.99999999999</v>
      </c>
      <c r="AH18" s="25">
        <f t="shared" si="67"/>
        <v>128543.99999999999</v>
      </c>
      <c r="AI18" s="25">
        <f t="shared" si="67"/>
        <v>128543.99999999999</v>
      </c>
      <c r="AJ18" s="25">
        <f t="shared" si="67"/>
        <v>128543.99999999999</v>
      </c>
      <c r="AK18" s="25">
        <f t="shared" si="67"/>
        <v>128543.99999999999</v>
      </c>
      <c r="AL18" s="25">
        <f t="shared" si="67"/>
        <v>128543.99999999999</v>
      </c>
      <c r="AM18" s="25">
        <f t="shared" si="67"/>
        <v>128543.99999999999</v>
      </c>
      <c r="AN18" s="25">
        <f>SUM(AB18:AM18)</f>
        <v>1446119.9999999998</v>
      </c>
    </row>
    <row r="19" spans="1:40" x14ac:dyDescent="0.3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35"/>
      <c r="R19" s="35"/>
      <c r="S19" s="3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</row>
    <row r="20" spans="1:40" x14ac:dyDescent="0.35">
      <c r="A20" s="26" t="s">
        <v>74</v>
      </c>
      <c r="B20" s="25">
        <f>SUM(B6+B10+B14+B18)</f>
        <v>0</v>
      </c>
      <c r="C20" s="25">
        <f t="shared" ref="C20:M20" si="68">SUM(C6+C10+C14+C18)</f>
        <v>0</v>
      </c>
      <c r="D20" s="25">
        <f t="shared" si="68"/>
        <v>0</v>
      </c>
      <c r="E20" s="25">
        <f t="shared" si="68"/>
        <v>0</v>
      </c>
      <c r="F20" s="25">
        <f t="shared" si="68"/>
        <v>0</v>
      </c>
      <c r="G20" s="25">
        <f t="shared" si="68"/>
        <v>0</v>
      </c>
      <c r="H20" s="25">
        <f t="shared" si="68"/>
        <v>0</v>
      </c>
      <c r="I20" s="25">
        <f t="shared" si="68"/>
        <v>0</v>
      </c>
      <c r="J20" s="25">
        <f t="shared" si="68"/>
        <v>0</v>
      </c>
      <c r="K20" s="25">
        <f t="shared" si="68"/>
        <v>0</v>
      </c>
      <c r="L20" s="25">
        <f t="shared" si="68"/>
        <v>0</v>
      </c>
      <c r="M20" s="25">
        <f t="shared" si="68"/>
        <v>0</v>
      </c>
      <c r="N20" s="25">
        <f>SUM(N6+N10+N14+N18)</f>
        <v>0</v>
      </c>
      <c r="O20" s="25">
        <f t="shared" ref="O20:Z20" si="69">SUM(O6+O10+O14+O18)</f>
        <v>564000</v>
      </c>
      <c r="P20" s="25">
        <f t="shared" si="69"/>
        <v>564000</v>
      </c>
      <c r="Q20" s="35">
        <f t="shared" si="69"/>
        <v>814000</v>
      </c>
      <c r="R20" s="35">
        <f t="shared" si="69"/>
        <v>886000</v>
      </c>
      <c r="S20" s="35">
        <f t="shared" si="69"/>
        <v>886000</v>
      </c>
      <c r="T20" s="25">
        <f t="shared" si="69"/>
        <v>1136000</v>
      </c>
      <c r="U20" s="25">
        <f t="shared" si="69"/>
        <v>1136000</v>
      </c>
      <c r="V20" s="25">
        <f t="shared" si="69"/>
        <v>1136000</v>
      </c>
      <c r="W20" s="25">
        <f t="shared" si="69"/>
        <v>1208000</v>
      </c>
      <c r="X20" s="25">
        <f t="shared" si="69"/>
        <v>1488000</v>
      </c>
      <c r="Y20" s="25">
        <f t="shared" si="69"/>
        <v>1488000</v>
      </c>
      <c r="Z20" s="25">
        <f t="shared" si="69"/>
        <v>1488000</v>
      </c>
      <c r="AA20" s="25">
        <f>SUM(AA6+AA10+AA14+AA18)</f>
        <v>12794000</v>
      </c>
      <c r="AB20" s="25">
        <f>SUM(AB6+AB10+AB14+AB18)</f>
        <v>2585876.7999999998</v>
      </c>
      <c r="AC20" s="25">
        <f t="shared" ref="AC20:AM20" si="70">SUM(AC6+AC10+AC14+AC18)</f>
        <v>2585876.7999999998</v>
      </c>
      <c r="AD20" s="25">
        <f t="shared" si="70"/>
        <v>3228596.8</v>
      </c>
      <c r="AE20" s="25">
        <f t="shared" si="70"/>
        <v>3414985.5999999996</v>
      </c>
      <c r="AF20" s="25">
        <f t="shared" si="70"/>
        <v>3414985.5999999996</v>
      </c>
      <c r="AG20" s="25">
        <f t="shared" si="70"/>
        <v>3897025.5999999996</v>
      </c>
      <c r="AH20" s="25">
        <f t="shared" si="70"/>
        <v>3897025.5999999996</v>
      </c>
      <c r="AI20" s="25">
        <f t="shared" si="70"/>
        <v>3897025.5999999996</v>
      </c>
      <c r="AJ20" s="25">
        <f t="shared" si="70"/>
        <v>4051278.4</v>
      </c>
      <c r="AK20" s="25">
        <f t="shared" si="70"/>
        <v>4533318.4000000004</v>
      </c>
      <c r="AL20" s="25">
        <f t="shared" si="70"/>
        <v>4533318.4000000004</v>
      </c>
      <c r="AM20" s="25">
        <f t="shared" si="70"/>
        <v>4533318.4000000004</v>
      </c>
      <c r="AN20" s="25">
        <f>SUM(AN6+AN10+AN14+AN18)</f>
        <v>44572632</v>
      </c>
    </row>
    <row r="22" spans="1:40" x14ac:dyDescent="0.35">
      <c r="A22" s="6" t="s">
        <v>118</v>
      </c>
      <c r="B22" s="38">
        <f>N20+AA20+AN20</f>
        <v>57366632</v>
      </c>
    </row>
    <row r="23" spans="1:40" x14ac:dyDescent="0.35">
      <c r="A23" s="6" t="s">
        <v>119</v>
      </c>
      <c r="B23" s="31">
        <f>B22/B24*100</f>
        <v>23.902763333333333</v>
      </c>
    </row>
    <row r="24" spans="1:40" x14ac:dyDescent="0.35">
      <c r="A24" s="6" t="s">
        <v>120</v>
      </c>
      <c r="B24" s="46">
        <v>240000000</v>
      </c>
    </row>
    <row r="26" spans="1:40" x14ac:dyDescent="0.35">
      <c r="B26" s="18"/>
    </row>
  </sheetData>
  <mergeCells count="7">
    <mergeCell ref="A1:A3"/>
    <mergeCell ref="AN1:AN3"/>
    <mergeCell ref="B1:M1"/>
    <mergeCell ref="N1:N3"/>
    <mergeCell ref="O1:Z1"/>
    <mergeCell ref="AA1:AA3"/>
    <mergeCell ref="AB1:AM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zoomScale="82" workbookViewId="0">
      <selection activeCell="N5" sqref="N5"/>
    </sheetView>
  </sheetViews>
  <sheetFormatPr defaultRowHeight="14.5" x14ac:dyDescent="0.35"/>
  <cols>
    <col min="1" max="1" width="21.6328125" customWidth="1"/>
    <col min="2" max="12" width="11" bestFit="1" customWidth="1"/>
    <col min="13" max="13" width="11.6328125" bestFit="1" customWidth="1"/>
    <col min="14" max="14" width="16.1796875" bestFit="1" customWidth="1"/>
    <col min="15" max="15" width="11.6328125" bestFit="1" customWidth="1"/>
    <col min="16" max="16" width="11" bestFit="1" customWidth="1"/>
    <col min="17" max="26" width="12.453125" bestFit="1" customWidth="1"/>
    <col min="27" max="27" width="15.1796875" bestFit="1" customWidth="1"/>
    <col min="28" max="39" width="12.54296875" bestFit="1" customWidth="1"/>
    <col min="40" max="40" width="16.08984375" bestFit="1" customWidth="1"/>
  </cols>
  <sheetData>
    <row r="1" spans="1:40" x14ac:dyDescent="0.35">
      <c r="A1" s="87" t="s">
        <v>75</v>
      </c>
      <c r="B1" s="75" t="s">
        <v>49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1" t="s">
        <v>51</v>
      </c>
      <c r="O1" s="75" t="s">
        <v>50</v>
      </c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1" t="s">
        <v>53</v>
      </c>
      <c r="AB1" s="75" t="s">
        <v>52</v>
      </c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1" t="s">
        <v>66</v>
      </c>
    </row>
    <row r="2" spans="1:40" x14ac:dyDescent="0.35">
      <c r="A2" s="88"/>
      <c r="B2" s="13" t="s">
        <v>54</v>
      </c>
      <c r="C2" s="13" t="s">
        <v>55</v>
      </c>
      <c r="D2" s="13" t="s">
        <v>56</v>
      </c>
      <c r="E2" s="13" t="s">
        <v>57</v>
      </c>
      <c r="F2" s="13" t="s">
        <v>58</v>
      </c>
      <c r="G2" s="13" t="s">
        <v>59</v>
      </c>
      <c r="H2" s="13" t="s">
        <v>60</v>
      </c>
      <c r="I2" s="13" t="s">
        <v>61</v>
      </c>
      <c r="J2" s="13" t="s">
        <v>62</v>
      </c>
      <c r="K2" s="13" t="s">
        <v>63</v>
      </c>
      <c r="L2" s="13" t="s">
        <v>64</v>
      </c>
      <c r="M2" s="13" t="s">
        <v>65</v>
      </c>
      <c r="N2" s="71"/>
      <c r="O2" s="13" t="s">
        <v>54</v>
      </c>
      <c r="P2" s="13" t="s">
        <v>55</v>
      </c>
      <c r="Q2" s="13" t="s">
        <v>56</v>
      </c>
      <c r="R2" s="13" t="s">
        <v>57</v>
      </c>
      <c r="S2" s="13" t="s">
        <v>58</v>
      </c>
      <c r="T2" s="13" t="s">
        <v>59</v>
      </c>
      <c r="U2" s="13" t="s">
        <v>60</v>
      </c>
      <c r="V2" s="13" t="s">
        <v>61</v>
      </c>
      <c r="W2" s="13" t="s">
        <v>62</v>
      </c>
      <c r="X2" s="13" t="s">
        <v>63</v>
      </c>
      <c r="Y2" s="13" t="s">
        <v>64</v>
      </c>
      <c r="Z2" s="13" t="s">
        <v>65</v>
      </c>
      <c r="AA2" s="71"/>
      <c r="AB2" s="13" t="s">
        <v>54</v>
      </c>
      <c r="AC2" s="13" t="s">
        <v>55</v>
      </c>
      <c r="AD2" s="13" t="s">
        <v>56</v>
      </c>
      <c r="AE2" s="13" t="s">
        <v>57</v>
      </c>
      <c r="AF2" s="13" t="s">
        <v>58</v>
      </c>
      <c r="AG2" s="13" t="s">
        <v>59</v>
      </c>
      <c r="AH2" s="13" t="s">
        <v>60</v>
      </c>
      <c r="AI2" s="13" t="s">
        <v>61</v>
      </c>
      <c r="AJ2" s="13" t="s">
        <v>62</v>
      </c>
      <c r="AK2" s="13" t="s">
        <v>63</v>
      </c>
      <c r="AL2" s="13" t="s">
        <v>64</v>
      </c>
      <c r="AM2" s="13" t="s">
        <v>65</v>
      </c>
      <c r="AN2" s="71"/>
    </row>
    <row r="3" spans="1:40" x14ac:dyDescent="0.35">
      <c r="A3" s="89"/>
      <c r="B3" s="15">
        <v>45292</v>
      </c>
      <c r="C3" s="15">
        <v>45323</v>
      </c>
      <c r="D3" s="15">
        <v>45352</v>
      </c>
      <c r="E3" s="15">
        <v>45383</v>
      </c>
      <c r="F3" s="15">
        <v>45413</v>
      </c>
      <c r="G3" s="15">
        <v>45444</v>
      </c>
      <c r="H3" s="15">
        <v>45474</v>
      </c>
      <c r="I3" s="15">
        <v>45505</v>
      </c>
      <c r="J3" s="15">
        <v>45536</v>
      </c>
      <c r="K3" s="15">
        <v>45566</v>
      </c>
      <c r="L3" s="15">
        <v>45597</v>
      </c>
      <c r="M3" s="15">
        <v>45627</v>
      </c>
      <c r="N3" s="71"/>
      <c r="O3" s="15">
        <v>45658</v>
      </c>
      <c r="P3" s="15">
        <v>45689</v>
      </c>
      <c r="Q3" s="15">
        <v>45717</v>
      </c>
      <c r="R3" s="15">
        <v>45748</v>
      </c>
      <c r="S3" s="15">
        <v>45778</v>
      </c>
      <c r="T3" s="15">
        <v>45809</v>
      </c>
      <c r="U3" s="15">
        <v>45839</v>
      </c>
      <c r="V3" s="15">
        <v>45870</v>
      </c>
      <c r="W3" s="15">
        <v>45901</v>
      </c>
      <c r="X3" s="15">
        <v>45931</v>
      </c>
      <c r="Y3" s="15">
        <v>45962</v>
      </c>
      <c r="Z3" s="15">
        <v>45992</v>
      </c>
      <c r="AA3" s="71"/>
      <c r="AB3" s="15">
        <v>46023</v>
      </c>
      <c r="AC3" s="15">
        <v>46054</v>
      </c>
      <c r="AD3" s="15">
        <v>46082</v>
      </c>
      <c r="AE3" s="15">
        <v>46113</v>
      </c>
      <c r="AF3" s="15">
        <v>46143</v>
      </c>
      <c r="AG3" s="15">
        <v>46174</v>
      </c>
      <c r="AH3" s="15">
        <v>46204</v>
      </c>
      <c r="AI3" s="15">
        <v>46235</v>
      </c>
      <c r="AJ3" s="15">
        <v>46266</v>
      </c>
      <c r="AK3" s="15">
        <v>46296</v>
      </c>
      <c r="AL3" s="15">
        <v>46327</v>
      </c>
      <c r="AM3" s="15">
        <v>46357</v>
      </c>
      <c r="AN3" s="71"/>
    </row>
    <row r="4" spans="1:40" x14ac:dyDescent="0.35">
      <c r="A4" s="39" t="s">
        <v>76</v>
      </c>
      <c r="B4" s="25">
        <f>'План продаж'!B20</f>
        <v>0</v>
      </c>
      <c r="C4" s="25">
        <f>'План продаж'!C20</f>
        <v>0</v>
      </c>
      <c r="D4" s="25">
        <f>'План продаж'!D20</f>
        <v>0</v>
      </c>
      <c r="E4" s="25">
        <f>'План продаж'!E20</f>
        <v>0</v>
      </c>
      <c r="F4" s="25">
        <f>'План продаж'!F20</f>
        <v>0</v>
      </c>
      <c r="G4" s="25">
        <f>'План продаж'!G20</f>
        <v>0</v>
      </c>
      <c r="H4" s="25">
        <f>'План продаж'!H20</f>
        <v>0</v>
      </c>
      <c r="I4" s="25">
        <f>'План продаж'!I20</f>
        <v>0</v>
      </c>
      <c r="J4" s="25">
        <f>'План продаж'!J20</f>
        <v>0</v>
      </c>
      <c r="K4" s="25">
        <f>'План продаж'!K20</f>
        <v>0</v>
      </c>
      <c r="L4" s="25">
        <f>'План продаж'!L20</f>
        <v>0</v>
      </c>
      <c r="M4" s="25">
        <f>'План продаж'!M20</f>
        <v>0</v>
      </c>
      <c r="N4" s="25">
        <f t="shared" ref="N4:N8" si="0">SUM(B4:M4)</f>
        <v>0</v>
      </c>
      <c r="O4" s="25">
        <f>'План продаж'!O20</f>
        <v>564000</v>
      </c>
      <c r="P4" s="25">
        <f>'План продаж'!P20</f>
        <v>564000</v>
      </c>
      <c r="Q4" s="25">
        <f>'План продаж'!Q20</f>
        <v>814000</v>
      </c>
      <c r="R4" s="25">
        <f>'План продаж'!R20</f>
        <v>886000</v>
      </c>
      <c r="S4" s="25">
        <f>'План продаж'!S20</f>
        <v>886000</v>
      </c>
      <c r="T4" s="25">
        <f>'План продаж'!T20</f>
        <v>1136000</v>
      </c>
      <c r="U4" s="25">
        <f>'План продаж'!U20</f>
        <v>1136000</v>
      </c>
      <c r="V4" s="25">
        <f>'План продаж'!V20</f>
        <v>1136000</v>
      </c>
      <c r="W4" s="25">
        <f>'План продаж'!W20</f>
        <v>1208000</v>
      </c>
      <c r="X4" s="25">
        <f>'План продаж'!X20</f>
        <v>1488000</v>
      </c>
      <c r="Y4" s="25">
        <f>'План продаж'!Y20</f>
        <v>1488000</v>
      </c>
      <c r="Z4" s="25">
        <f>'План продаж'!Z20</f>
        <v>1488000</v>
      </c>
      <c r="AA4" s="25">
        <f t="shared" ref="AA4:AA6" si="1">SUM(O4:Z4)</f>
        <v>12794000</v>
      </c>
      <c r="AB4" s="25">
        <f>'План продаж'!AB20</f>
        <v>2585876.7999999998</v>
      </c>
      <c r="AC4" s="25">
        <f>'План продаж'!AC20</f>
        <v>2585876.7999999998</v>
      </c>
      <c r="AD4" s="25">
        <f>'План продаж'!AD20</f>
        <v>3228596.8</v>
      </c>
      <c r="AE4" s="25">
        <f>'План продаж'!AE20</f>
        <v>3414985.5999999996</v>
      </c>
      <c r="AF4" s="25">
        <f>'План продаж'!AF20</f>
        <v>3414985.5999999996</v>
      </c>
      <c r="AG4" s="25">
        <f>'План продаж'!AG20</f>
        <v>3897025.5999999996</v>
      </c>
      <c r="AH4" s="25">
        <f>'План продаж'!AH20</f>
        <v>3897025.5999999996</v>
      </c>
      <c r="AI4" s="25">
        <f>'План продаж'!AI20</f>
        <v>3897025.5999999996</v>
      </c>
      <c r="AJ4" s="25">
        <f>'План продаж'!AJ20</f>
        <v>4051278.4</v>
      </c>
      <c r="AK4" s="25">
        <f>'План продаж'!AK20</f>
        <v>4533318.4000000004</v>
      </c>
      <c r="AL4" s="25">
        <f>'План продаж'!AL20</f>
        <v>4533318.4000000004</v>
      </c>
      <c r="AM4" s="25">
        <f>'План продаж'!AM20</f>
        <v>4533318.4000000004</v>
      </c>
      <c r="AN4" s="25">
        <f t="shared" ref="AN4:AN6" si="2">SUM(AB4:AM4)</f>
        <v>44572631.999999993</v>
      </c>
    </row>
    <row r="5" spans="1:40" x14ac:dyDescent="0.35">
      <c r="A5" s="39" t="s">
        <v>77</v>
      </c>
      <c r="B5" s="25">
        <f>'Прогноз расходов'!B10</f>
        <v>261666.8</v>
      </c>
      <c r="C5" s="25">
        <f>'Прогноз расходов'!C10</f>
        <v>197643.6</v>
      </c>
      <c r="D5" s="25">
        <f>'Прогноз расходов'!D10</f>
        <v>197643.6</v>
      </c>
      <c r="E5" s="25">
        <f>'Прогноз расходов'!E10</f>
        <v>297643.59999999998</v>
      </c>
      <c r="F5" s="25">
        <f>'Прогноз расходов'!F10</f>
        <v>197643.6</v>
      </c>
      <c r="G5" s="25">
        <f>'Прогноз расходов'!G10</f>
        <v>155719.19999999998</v>
      </c>
      <c r="H5" s="25">
        <f>'Прогноз расходов'!H10</f>
        <v>155719.19999999998</v>
      </c>
      <c r="I5" s="25">
        <f>'Прогноз расходов'!I10</f>
        <v>155719.19999999998</v>
      </c>
      <c r="J5" s="25">
        <f>'Прогноз расходов'!J10</f>
        <v>297643.59999999998</v>
      </c>
      <c r="K5" s="25">
        <f>'Прогноз расходов'!K10</f>
        <v>155719.19999999998</v>
      </c>
      <c r="L5" s="25">
        <f>'Прогноз расходов'!L10</f>
        <v>155719.19999999998</v>
      </c>
      <c r="M5" s="25">
        <f>'Прогноз расходов'!M10</f>
        <v>514519.2</v>
      </c>
      <c r="N5" s="25">
        <f>SUM(B5:M5)</f>
        <v>2743000</v>
      </c>
      <c r="O5" s="25">
        <f>'Прогноз расходов'!O10</f>
        <v>411197.09399999998</v>
      </c>
      <c r="P5" s="25">
        <f>'Прогноз расходов'!P10</f>
        <v>350138.69399999996</v>
      </c>
      <c r="Q5" s="25">
        <f>'Прогноз расходов'!Q10</f>
        <v>350138.69399999996</v>
      </c>
      <c r="R5" s="25">
        <f>'Прогноз расходов'!R10</f>
        <v>350138.69399999996</v>
      </c>
      <c r="S5" s="25">
        <f>'Прогноз расходов'!S10</f>
        <v>527258.6939999999</v>
      </c>
      <c r="T5" s="25">
        <f>'Прогноз расходов'!T10</f>
        <v>350138.69399999996</v>
      </c>
      <c r="U5" s="25">
        <f>'Прогноз расходов'!U10</f>
        <v>450128.38799999992</v>
      </c>
      <c r="V5" s="25">
        <f>'Прогноз расходов'!V10</f>
        <v>450128.38799999992</v>
      </c>
      <c r="W5" s="25">
        <f>'Прогноз расходов'!W10</f>
        <v>520128.38799999992</v>
      </c>
      <c r="X5" s="25">
        <f>'Прогноз расходов'!X10</f>
        <v>450128.38799999992</v>
      </c>
      <c r="Y5" s="25">
        <f>'Прогноз расходов'!Y10</f>
        <v>557248.38799999992</v>
      </c>
      <c r="Z5" s="25">
        <f>'Прогноз расходов'!Z10</f>
        <v>450128.38799999992</v>
      </c>
      <c r="AA5" s="25">
        <f t="shared" si="1"/>
        <v>5216900.892</v>
      </c>
      <c r="AB5" s="25">
        <f>'Прогноз расходов'!AB10</f>
        <v>424539.89930559992</v>
      </c>
      <c r="AC5" s="25">
        <f>'Прогноз расходов'!AC10</f>
        <v>359134.14122559992</v>
      </c>
      <c r="AD5" s="25">
        <f>'Прогноз расходов'!AD10</f>
        <v>516729.08522559993</v>
      </c>
      <c r="AE5" s="25">
        <f>'Прогноз расходов'!AE10</f>
        <v>359134.14122559992</v>
      </c>
      <c r="AF5" s="25">
        <f>'Прогноз расходов'!AF10</f>
        <v>434118.14122559992</v>
      </c>
      <c r="AG5" s="25">
        <f>'Прогноз расходов'!AG10</f>
        <v>359134.14122559992</v>
      </c>
      <c r="AH5" s="25">
        <f>'Прогноз расходов'!AH10</f>
        <v>401982.14122559992</v>
      </c>
      <c r="AI5" s="25">
        <f>'Прогноз расходов'!AI10</f>
        <v>473881.08522559993</v>
      </c>
      <c r="AJ5" s="25">
        <f>'Прогноз расходов'!AJ10</f>
        <v>434118.14122559992</v>
      </c>
      <c r="AK5" s="25">
        <f>'Прогноз расходов'!AK10</f>
        <v>359134.14122559992</v>
      </c>
      <c r="AL5" s="25">
        <f>'Прогноз расходов'!AL10</f>
        <v>473881.08522559993</v>
      </c>
      <c r="AM5" s="25">
        <f>'Прогноз расходов'!AM10</f>
        <v>401982.14122559992</v>
      </c>
      <c r="AN5" s="25">
        <f t="shared" si="2"/>
        <v>4997768.2847871976</v>
      </c>
    </row>
    <row r="6" spans="1:40" x14ac:dyDescent="0.35">
      <c r="A6" s="45" t="s">
        <v>121</v>
      </c>
      <c r="B6" s="25">
        <f>'Прогноз расходов'!D16</f>
        <v>257000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f t="shared" si="0"/>
        <v>257000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f t="shared" si="1"/>
        <v>0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25">
        <v>0</v>
      </c>
      <c r="AH6" s="25">
        <v>0</v>
      </c>
      <c r="AI6" s="25">
        <v>0</v>
      </c>
      <c r="AJ6" s="25">
        <v>0</v>
      </c>
      <c r="AK6" s="25">
        <v>0</v>
      </c>
      <c r="AL6" s="25">
        <v>0</v>
      </c>
      <c r="AM6" s="25">
        <v>0</v>
      </c>
      <c r="AN6" s="25">
        <f t="shared" si="2"/>
        <v>0</v>
      </c>
    </row>
    <row r="7" spans="1:40" ht="29" x14ac:dyDescent="0.35">
      <c r="A7" s="64" t="s">
        <v>122</v>
      </c>
      <c r="B7" s="25">
        <f>B4-B5-B6</f>
        <v>-518666.8</v>
      </c>
      <c r="C7" s="25">
        <f>C4-C5-C6</f>
        <v>-197643.6</v>
      </c>
      <c r="D7" s="25">
        <f t="shared" ref="D7:M7" si="3">D4-D5-D6</f>
        <v>-197643.6</v>
      </c>
      <c r="E7" s="25">
        <f t="shared" si="3"/>
        <v>-297643.59999999998</v>
      </c>
      <c r="F7" s="25">
        <f t="shared" si="3"/>
        <v>-197643.6</v>
      </c>
      <c r="G7" s="25">
        <f t="shared" si="3"/>
        <v>-155719.19999999998</v>
      </c>
      <c r="H7" s="25">
        <f t="shared" si="3"/>
        <v>-155719.19999999998</v>
      </c>
      <c r="I7" s="25">
        <f t="shared" si="3"/>
        <v>-155719.19999999998</v>
      </c>
      <c r="J7" s="25">
        <f t="shared" si="3"/>
        <v>-297643.59999999998</v>
      </c>
      <c r="K7" s="25">
        <f t="shared" si="3"/>
        <v>-155719.19999999998</v>
      </c>
      <c r="L7" s="25">
        <f t="shared" si="3"/>
        <v>-155719.19999999998</v>
      </c>
      <c r="M7" s="25">
        <f t="shared" si="3"/>
        <v>-514519.2</v>
      </c>
      <c r="N7" s="25">
        <f>SUM(B7:M7)</f>
        <v>-3000000.0000000005</v>
      </c>
      <c r="O7" s="25">
        <f>O4-O5-O6</f>
        <v>152802.90600000002</v>
      </c>
      <c r="P7" s="25">
        <f t="shared" ref="P7:Z7" si="4">P4-P5-P6</f>
        <v>213861.30600000004</v>
      </c>
      <c r="Q7" s="25">
        <f t="shared" si="4"/>
        <v>463861.30600000004</v>
      </c>
      <c r="R7" s="25">
        <f>R4-R5-R6</f>
        <v>535861.3060000001</v>
      </c>
      <c r="S7" s="25">
        <f>S4-S5-S6</f>
        <v>358741.3060000001</v>
      </c>
      <c r="T7" s="25">
        <f t="shared" si="4"/>
        <v>785861.3060000001</v>
      </c>
      <c r="U7" s="25">
        <f t="shared" si="4"/>
        <v>685871.61200000008</v>
      </c>
      <c r="V7" s="25">
        <f t="shared" si="4"/>
        <v>685871.61200000008</v>
      </c>
      <c r="W7" s="25">
        <f t="shared" si="4"/>
        <v>687871.61200000008</v>
      </c>
      <c r="X7" s="25">
        <f t="shared" si="4"/>
        <v>1037871.6120000001</v>
      </c>
      <c r="Y7" s="25">
        <f t="shared" si="4"/>
        <v>930751.61200000008</v>
      </c>
      <c r="Z7" s="25">
        <f t="shared" si="4"/>
        <v>1037871.6120000001</v>
      </c>
      <c r="AA7" s="25">
        <f>SUM(O7:Z7)</f>
        <v>7577099.108</v>
      </c>
      <c r="AB7" s="25">
        <f>AB4-AB5-AB6</f>
        <v>2161336.9006944001</v>
      </c>
      <c r="AC7" s="25">
        <f t="shared" ref="AC7:AM7" si="5">AC4-AC5-AC6</f>
        <v>2226742.6587744001</v>
      </c>
      <c r="AD7" s="25">
        <f t="shared" si="5"/>
        <v>2711867.7147744</v>
      </c>
      <c r="AE7" s="25">
        <f t="shared" si="5"/>
        <v>3055851.4587743999</v>
      </c>
      <c r="AF7" s="25">
        <f t="shared" si="5"/>
        <v>2980867.4587743999</v>
      </c>
      <c r="AG7" s="25">
        <f t="shared" si="5"/>
        <v>3537891.4587743999</v>
      </c>
      <c r="AH7" s="25">
        <f t="shared" si="5"/>
        <v>3495043.4587743999</v>
      </c>
      <c r="AI7" s="25">
        <f t="shared" si="5"/>
        <v>3423144.5147743998</v>
      </c>
      <c r="AJ7" s="25">
        <f t="shared" si="5"/>
        <v>3617160.2587743998</v>
      </c>
      <c r="AK7" s="25">
        <f t="shared" si="5"/>
        <v>4174184.2587744007</v>
      </c>
      <c r="AL7" s="25">
        <f t="shared" si="5"/>
        <v>4059437.3147744006</v>
      </c>
      <c r="AM7" s="25">
        <f t="shared" si="5"/>
        <v>4131336.2587744007</v>
      </c>
      <c r="AN7" s="25">
        <f>SUM(AB7:AM7)</f>
        <v>39574863.7152128</v>
      </c>
    </row>
    <row r="8" spans="1:40" ht="29" x14ac:dyDescent="0.35">
      <c r="A8" s="39" t="s">
        <v>78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f t="shared" si="0"/>
        <v>0</v>
      </c>
      <c r="O8" s="25">
        <f>O7*0.15</f>
        <v>22920.4359</v>
      </c>
      <c r="P8" s="25">
        <f t="shared" ref="P8:Z8" si="6">P7*0.15</f>
        <v>32079.195900000006</v>
      </c>
      <c r="Q8" s="25">
        <f t="shared" si="6"/>
        <v>69579.195900000006</v>
      </c>
      <c r="R8" s="25">
        <f t="shared" si="6"/>
        <v>80379.195900000006</v>
      </c>
      <c r="S8" s="25">
        <f t="shared" si="6"/>
        <v>53811.195900000013</v>
      </c>
      <c r="T8" s="25">
        <f t="shared" si="6"/>
        <v>117879.19590000001</v>
      </c>
      <c r="U8" s="25">
        <f t="shared" si="6"/>
        <v>102880.7418</v>
      </c>
      <c r="V8" s="25">
        <f t="shared" si="6"/>
        <v>102880.7418</v>
      </c>
      <c r="W8" s="25">
        <f t="shared" si="6"/>
        <v>103180.7418</v>
      </c>
      <c r="X8" s="25">
        <f t="shared" si="6"/>
        <v>155680.74180000002</v>
      </c>
      <c r="Y8" s="25">
        <f t="shared" si="6"/>
        <v>139612.74180000002</v>
      </c>
      <c r="Z8" s="25">
        <f t="shared" si="6"/>
        <v>155680.74180000002</v>
      </c>
      <c r="AA8" s="25">
        <f>SUM(O8:Z8)</f>
        <v>1136564.8662</v>
      </c>
      <c r="AB8" s="25">
        <f>AB7*0.15</f>
        <v>324200.53510416002</v>
      </c>
      <c r="AC8" s="25">
        <f t="shared" ref="AC8:AM8" si="7">AC7*0.15</f>
        <v>334011.39881615998</v>
      </c>
      <c r="AD8" s="25">
        <f t="shared" si="7"/>
        <v>406780.15721615998</v>
      </c>
      <c r="AE8" s="25">
        <f t="shared" si="7"/>
        <v>458377.71881615999</v>
      </c>
      <c r="AF8" s="25">
        <f t="shared" si="7"/>
        <v>447130.11881615996</v>
      </c>
      <c r="AG8" s="25">
        <f t="shared" si="7"/>
        <v>530683.71881615999</v>
      </c>
      <c r="AH8" s="25">
        <f t="shared" si="7"/>
        <v>524256.51881615998</v>
      </c>
      <c r="AI8" s="25">
        <f t="shared" si="7"/>
        <v>513471.67721615994</v>
      </c>
      <c r="AJ8" s="25">
        <f t="shared" si="7"/>
        <v>542574.03881615994</v>
      </c>
      <c r="AK8" s="25">
        <f t="shared" si="7"/>
        <v>626127.63881616003</v>
      </c>
      <c r="AL8" s="25">
        <f t="shared" si="7"/>
        <v>608915.59721616004</v>
      </c>
      <c r="AM8" s="25">
        <f t="shared" si="7"/>
        <v>619700.43881616008</v>
      </c>
      <c r="AN8" s="25">
        <f>SUM(AB8:AM8)</f>
        <v>5936229.5572819198</v>
      </c>
    </row>
    <row r="9" spans="1:40" ht="29" x14ac:dyDescent="0.35">
      <c r="A9" s="63" t="s">
        <v>79</v>
      </c>
      <c r="B9" s="25">
        <f>B7-B8</f>
        <v>-518666.8</v>
      </c>
      <c r="C9" s="25">
        <f t="shared" ref="C9:K9" si="8">C7-C8</f>
        <v>-197643.6</v>
      </c>
      <c r="D9" s="25">
        <f t="shared" si="8"/>
        <v>-197643.6</v>
      </c>
      <c r="E9" s="25">
        <f t="shared" si="8"/>
        <v>-297643.59999999998</v>
      </c>
      <c r="F9" s="25">
        <f t="shared" si="8"/>
        <v>-197643.6</v>
      </c>
      <c r="G9" s="25">
        <f t="shared" si="8"/>
        <v>-155719.19999999998</v>
      </c>
      <c r="H9" s="25">
        <f t="shared" si="8"/>
        <v>-155719.19999999998</v>
      </c>
      <c r="I9" s="25">
        <f t="shared" si="8"/>
        <v>-155719.19999999998</v>
      </c>
      <c r="J9" s="25">
        <f t="shared" si="8"/>
        <v>-297643.59999999998</v>
      </c>
      <c r="K9" s="25">
        <f t="shared" si="8"/>
        <v>-155719.19999999998</v>
      </c>
      <c r="L9" s="25">
        <f>L7-L8</f>
        <v>-155719.19999999998</v>
      </c>
      <c r="M9" s="25">
        <f>M7-M8</f>
        <v>-514519.2</v>
      </c>
      <c r="N9" s="25">
        <f>SUM(B9:M9)</f>
        <v>-3000000.0000000005</v>
      </c>
      <c r="O9" s="25">
        <f>O7-O8</f>
        <v>129882.47010000002</v>
      </c>
      <c r="P9" s="25">
        <f t="shared" ref="P9:Y9" si="9">P7-P8</f>
        <v>181782.11010000005</v>
      </c>
      <c r="Q9" s="25">
        <f t="shared" si="9"/>
        <v>394282.11010000005</v>
      </c>
      <c r="R9" s="25">
        <f t="shared" si="9"/>
        <v>455482.11010000011</v>
      </c>
      <c r="S9" s="25">
        <f t="shared" si="9"/>
        <v>304930.11010000011</v>
      </c>
      <c r="T9" s="25">
        <f t="shared" si="9"/>
        <v>667982.11010000005</v>
      </c>
      <c r="U9" s="25">
        <f t="shared" si="9"/>
        <v>582990.87020000012</v>
      </c>
      <c r="V9" s="25">
        <f t="shared" si="9"/>
        <v>582990.87020000012</v>
      </c>
      <c r="W9" s="25">
        <f t="shared" si="9"/>
        <v>584690.87020000012</v>
      </c>
      <c r="X9" s="25">
        <f t="shared" si="9"/>
        <v>882190.8702</v>
      </c>
      <c r="Y9" s="25">
        <f t="shared" si="9"/>
        <v>791138.8702</v>
      </c>
      <c r="Z9" s="25">
        <f>Z7-Z8</f>
        <v>882190.8702</v>
      </c>
      <c r="AA9" s="25">
        <f>SUM(O9:Z9)</f>
        <v>6440534.2418000009</v>
      </c>
      <c r="AB9" s="25">
        <f>AB7-AB8</f>
        <v>1837136.3655902401</v>
      </c>
      <c r="AC9" s="25">
        <f t="shared" ref="AC9:AL9" si="10">AC7-AC8</f>
        <v>1892731.2599582402</v>
      </c>
      <c r="AD9" s="25">
        <f t="shared" si="10"/>
        <v>2305087.5575582399</v>
      </c>
      <c r="AE9" s="25">
        <f t="shared" si="10"/>
        <v>2597473.7399582397</v>
      </c>
      <c r="AF9" s="25">
        <f t="shared" si="10"/>
        <v>2533737.3399582398</v>
      </c>
      <c r="AG9" s="25">
        <f t="shared" si="10"/>
        <v>3007207.7399582397</v>
      </c>
      <c r="AH9" s="25">
        <f t="shared" si="10"/>
        <v>2970786.9399582399</v>
      </c>
      <c r="AI9" s="25">
        <f t="shared" si="10"/>
        <v>2909672.8375582397</v>
      </c>
      <c r="AJ9" s="25">
        <f t="shared" si="10"/>
        <v>3074586.2199582397</v>
      </c>
      <c r="AK9" s="25">
        <f t="shared" si="10"/>
        <v>3548056.6199582405</v>
      </c>
      <c r="AL9" s="25">
        <f t="shared" si="10"/>
        <v>3450521.7175582405</v>
      </c>
      <c r="AM9" s="25">
        <f>AM7-AM8</f>
        <v>3511635.8199582407</v>
      </c>
      <c r="AN9" s="25">
        <f>SUM(AB9:AM9)</f>
        <v>33638634.157930881</v>
      </c>
    </row>
    <row r="10" spans="1:40" x14ac:dyDescent="0.35">
      <c r="L10" s="18"/>
      <c r="M10" s="18"/>
      <c r="N10" s="18"/>
      <c r="O10" s="18"/>
      <c r="AA10" s="18"/>
    </row>
    <row r="11" spans="1:40" x14ac:dyDescent="0.35">
      <c r="M11" s="18"/>
      <c r="N11" s="17"/>
    </row>
  </sheetData>
  <mergeCells count="7">
    <mergeCell ref="A1:A3"/>
    <mergeCell ref="AN1:AN3"/>
    <mergeCell ref="B1:M1"/>
    <mergeCell ref="N1:N3"/>
    <mergeCell ref="O1:Z1"/>
    <mergeCell ref="AA1:AA3"/>
    <mergeCell ref="AB1:AM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69658-FD15-4982-A61D-30E2F1832BE3}">
  <dimension ref="A1:AK78"/>
  <sheetViews>
    <sheetView zoomScale="66" workbookViewId="0">
      <selection activeCell="G41" sqref="G41"/>
    </sheetView>
  </sheetViews>
  <sheetFormatPr defaultRowHeight="14.5" x14ac:dyDescent="0.35"/>
  <cols>
    <col min="1" max="1" width="24" bestFit="1" customWidth="1"/>
    <col min="2" max="3" width="14" bestFit="1" customWidth="1"/>
    <col min="4" max="4" width="15" bestFit="1" customWidth="1"/>
    <col min="5" max="7" width="11.26953125" bestFit="1" customWidth="1"/>
    <col min="8" max="11" width="12.81640625" bestFit="1" customWidth="1"/>
    <col min="12" max="15" width="11.26953125" bestFit="1" customWidth="1"/>
    <col min="16" max="25" width="12.81640625" bestFit="1" customWidth="1"/>
    <col min="26" max="37" width="13.90625" bestFit="1" customWidth="1"/>
  </cols>
  <sheetData>
    <row r="1" spans="1:37" x14ac:dyDescent="0.35">
      <c r="A1" s="77" t="s">
        <v>164</v>
      </c>
      <c r="B1" s="75" t="s">
        <v>49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 t="s">
        <v>50</v>
      </c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 t="s">
        <v>52</v>
      </c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</row>
    <row r="2" spans="1:37" x14ac:dyDescent="0.35">
      <c r="A2" s="77"/>
      <c r="B2" s="90" t="s">
        <v>54</v>
      </c>
      <c r="C2" s="90" t="s">
        <v>55</v>
      </c>
      <c r="D2" s="90" t="s">
        <v>56</v>
      </c>
      <c r="E2" s="90" t="s">
        <v>57</v>
      </c>
      <c r="F2" s="90" t="s">
        <v>58</v>
      </c>
      <c r="G2" s="90" t="s">
        <v>59</v>
      </c>
      <c r="H2" s="90" t="s">
        <v>60</v>
      </c>
      <c r="I2" s="90" t="s">
        <v>61</v>
      </c>
      <c r="J2" s="90" t="s">
        <v>62</v>
      </c>
      <c r="K2" s="90" t="s">
        <v>63</v>
      </c>
      <c r="L2" s="90" t="s">
        <v>64</v>
      </c>
      <c r="M2" s="90" t="s">
        <v>65</v>
      </c>
      <c r="N2" s="90" t="s">
        <v>54</v>
      </c>
      <c r="O2" s="90" t="s">
        <v>55</v>
      </c>
      <c r="P2" s="90" t="s">
        <v>56</v>
      </c>
      <c r="Q2" s="90" t="s">
        <v>57</v>
      </c>
      <c r="R2" s="90" t="s">
        <v>58</v>
      </c>
      <c r="S2" s="90" t="s">
        <v>59</v>
      </c>
      <c r="T2" s="90" t="s">
        <v>60</v>
      </c>
      <c r="U2" s="90" t="s">
        <v>61</v>
      </c>
      <c r="V2" s="90" t="s">
        <v>62</v>
      </c>
      <c r="W2" s="90" t="s">
        <v>63</v>
      </c>
      <c r="X2" s="90" t="s">
        <v>64</v>
      </c>
      <c r="Y2" s="90" t="s">
        <v>65</v>
      </c>
      <c r="Z2" s="90" t="s">
        <v>54</v>
      </c>
      <c r="AA2" s="90" t="s">
        <v>55</v>
      </c>
      <c r="AB2" s="90" t="s">
        <v>56</v>
      </c>
      <c r="AC2" s="90" t="s">
        <v>57</v>
      </c>
      <c r="AD2" s="90" t="s">
        <v>58</v>
      </c>
      <c r="AE2" s="90" t="s">
        <v>59</v>
      </c>
      <c r="AF2" s="90" t="s">
        <v>60</v>
      </c>
      <c r="AG2" s="90" t="s">
        <v>61</v>
      </c>
      <c r="AH2" s="90" t="s">
        <v>62</v>
      </c>
      <c r="AI2" s="90" t="s">
        <v>63</v>
      </c>
      <c r="AJ2" s="90" t="s">
        <v>64</v>
      </c>
      <c r="AK2" s="90" t="s">
        <v>65</v>
      </c>
    </row>
    <row r="3" spans="1:37" x14ac:dyDescent="0.35">
      <c r="A3" s="79"/>
      <c r="B3" s="91">
        <v>45292</v>
      </c>
      <c r="C3" s="91">
        <v>45323</v>
      </c>
      <c r="D3" s="91">
        <v>45352</v>
      </c>
      <c r="E3" s="91">
        <v>45383</v>
      </c>
      <c r="F3" s="91">
        <v>45413</v>
      </c>
      <c r="G3" s="91">
        <v>45444</v>
      </c>
      <c r="H3" s="91">
        <v>45474</v>
      </c>
      <c r="I3" s="91">
        <v>45505</v>
      </c>
      <c r="J3" s="91">
        <v>45536</v>
      </c>
      <c r="K3" s="91">
        <v>45566</v>
      </c>
      <c r="L3" s="91">
        <v>45597</v>
      </c>
      <c r="M3" s="91">
        <v>45627</v>
      </c>
      <c r="N3" s="91">
        <v>45658</v>
      </c>
      <c r="O3" s="91">
        <v>45689</v>
      </c>
      <c r="P3" s="91">
        <v>45717</v>
      </c>
      <c r="Q3" s="91">
        <v>45748</v>
      </c>
      <c r="R3" s="91">
        <v>45778</v>
      </c>
      <c r="S3" s="91">
        <v>45809</v>
      </c>
      <c r="T3" s="91">
        <v>45839</v>
      </c>
      <c r="U3" s="91">
        <v>45870</v>
      </c>
      <c r="V3" s="91">
        <v>45901</v>
      </c>
      <c r="W3" s="91">
        <v>45931</v>
      </c>
      <c r="X3" s="91">
        <v>45962</v>
      </c>
      <c r="Y3" s="91">
        <v>45992</v>
      </c>
      <c r="Z3" s="91">
        <v>46023</v>
      </c>
      <c r="AA3" s="91">
        <v>46054</v>
      </c>
      <c r="AB3" s="91">
        <v>46082</v>
      </c>
      <c r="AC3" s="91">
        <v>46113</v>
      </c>
      <c r="AD3" s="91">
        <v>46143</v>
      </c>
      <c r="AE3" s="91">
        <v>46174</v>
      </c>
      <c r="AF3" s="91">
        <v>46204</v>
      </c>
      <c r="AG3" s="91">
        <v>46235</v>
      </c>
      <c r="AH3" s="91">
        <v>46266</v>
      </c>
      <c r="AI3" s="91">
        <v>46296</v>
      </c>
      <c r="AJ3" s="91">
        <v>46327</v>
      </c>
      <c r="AK3" s="91">
        <v>46357</v>
      </c>
    </row>
    <row r="4" spans="1:37" ht="26.5" x14ac:dyDescent="0.35">
      <c r="A4" s="92" t="s">
        <v>136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</row>
    <row r="5" spans="1:37" x14ac:dyDescent="0.35">
      <c r="A5" s="93" t="s">
        <v>137</v>
      </c>
      <c r="B5" s="25">
        <f>SUM(B6:B7)</f>
        <v>0</v>
      </c>
      <c r="C5" s="25">
        <f>SUM(C6:C7)</f>
        <v>0</v>
      </c>
      <c r="D5" s="25">
        <f>SUM(D6:D7)</f>
        <v>0</v>
      </c>
      <c r="E5" s="25">
        <f>SUM(E6:E7)</f>
        <v>0</v>
      </c>
      <c r="F5" s="25">
        <f>SUM(F6:F7)</f>
        <v>0</v>
      </c>
      <c r="G5" s="25">
        <f>SUM(G6:G7)</f>
        <v>0</v>
      </c>
      <c r="H5" s="25">
        <f>SUM(H6:H7)</f>
        <v>0</v>
      </c>
      <c r="I5" s="25">
        <f>SUM(I6:I7)</f>
        <v>0</v>
      </c>
      <c r="J5" s="25">
        <f>SUM(J6:J7)</f>
        <v>0</v>
      </c>
      <c r="K5" s="25">
        <f>SUM(K6:K7)</f>
        <v>0</v>
      </c>
      <c r="L5" s="25">
        <f>SUM(L6:L7)</f>
        <v>0</v>
      </c>
      <c r="M5" s="25">
        <f>SUM(M6:M7)</f>
        <v>0</v>
      </c>
      <c r="N5" s="25">
        <f>SUM(N6:N7)</f>
        <v>564000</v>
      </c>
      <c r="O5" s="25">
        <f>SUM(O6:O7)</f>
        <v>564000</v>
      </c>
      <c r="P5" s="25">
        <f>SUM(P6:P7)</f>
        <v>814000</v>
      </c>
      <c r="Q5" s="25">
        <f>SUM(Q6:Q7)</f>
        <v>886000</v>
      </c>
      <c r="R5" s="25">
        <f>SUM(R6:R7)</f>
        <v>886000</v>
      </c>
      <c r="S5" s="25">
        <f>SUM(S6:S7)</f>
        <v>1136000</v>
      </c>
      <c r="T5" s="25">
        <f>SUM(T6:T7)</f>
        <v>1136000</v>
      </c>
      <c r="U5" s="25">
        <f>SUM(U6:U7)</f>
        <v>1136000</v>
      </c>
      <c r="V5" s="25">
        <f>SUM(V6:V7)</f>
        <v>1208000</v>
      </c>
      <c r="W5" s="25">
        <f>SUM(W6:W7)</f>
        <v>1488000</v>
      </c>
      <c r="X5" s="25">
        <f>SUM(X6:X7)</f>
        <v>1488000</v>
      </c>
      <c r="Y5" s="25">
        <f>SUM(Y6:Y7)</f>
        <v>1488000</v>
      </c>
      <c r="Z5" s="25">
        <f>SUM(Z6:Z7)</f>
        <v>2585876.7999999998</v>
      </c>
      <c r="AA5" s="25">
        <f>SUM(AA6:AA7)</f>
        <v>2585876.7999999998</v>
      </c>
      <c r="AB5" s="25">
        <f>SUM(AB6:AB7)</f>
        <v>3228596.8</v>
      </c>
      <c r="AC5" s="25">
        <f>SUM(AC6:AC7)</f>
        <v>3414985.5999999996</v>
      </c>
      <c r="AD5" s="25">
        <f>SUM(AD6:AD7)</f>
        <v>3414985.5999999996</v>
      </c>
      <c r="AE5" s="25">
        <f>SUM(AE6:AE7)</f>
        <v>3897025.5999999996</v>
      </c>
      <c r="AF5" s="25">
        <f>SUM(AF6:AF7)</f>
        <v>3897025.5999999996</v>
      </c>
      <c r="AG5" s="25">
        <f>SUM(AG6:AG7)</f>
        <v>3897025.5999999996</v>
      </c>
      <c r="AH5" s="25">
        <f>SUM(AH6:AH7)</f>
        <v>4051278.4</v>
      </c>
      <c r="AI5" s="25">
        <f>SUM(AI6:AI7)</f>
        <v>4533318.4000000004</v>
      </c>
      <c r="AJ5" s="25">
        <f>SUM(AJ6:AJ7)</f>
        <v>4533318.4000000004</v>
      </c>
      <c r="AK5" s="25">
        <f>SUM(AK6:AK7)</f>
        <v>4533318.4000000004</v>
      </c>
    </row>
    <row r="6" spans="1:37" x14ac:dyDescent="0.35">
      <c r="A6" s="93" t="s">
        <v>138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</row>
    <row r="7" spans="1:37" ht="26" x14ac:dyDescent="0.35">
      <c r="A7" s="93" t="s">
        <v>139</v>
      </c>
      <c r="B7" s="25">
        <f>'[1]План продаж'!B16</f>
        <v>0</v>
      </c>
      <c r="C7" s="25">
        <f>'[1]План продаж'!C16</f>
        <v>0</v>
      </c>
      <c r="D7" s="25">
        <f>'[1]План продаж'!D16</f>
        <v>0</v>
      </c>
      <c r="E7" s="25">
        <f>'[1]План продаж'!E16</f>
        <v>0</v>
      </c>
      <c r="F7" s="25">
        <f>'[1]План продаж'!F16</f>
        <v>0</v>
      </c>
      <c r="G7" s="25">
        <f>'[1]План продаж'!G16</f>
        <v>0</v>
      </c>
      <c r="H7" s="25">
        <f>'[1]План продаж'!H16</f>
        <v>0</v>
      </c>
      <c r="I7" s="25">
        <f>'[1]План продаж'!I16</f>
        <v>0</v>
      </c>
      <c r="J7" s="25">
        <f>'[1]План продаж'!J16</f>
        <v>0</v>
      </c>
      <c r="K7" s="25">
        <f>'[1]План продаж'!K16</f>
        <v>0</v>
      </c>
      <c r="L7" s="25">
        <f>'План продаж'!L20</f>
        <v>0</v>
      </c>
      <c r="M7" s="25">
        <f>'План продаж'!M20</f>
        <v>0</v>
      </c>
      <c r="N7" s="25">
        <f>'План продаж'!O20</f>
        <v>564000</v>
      </c>
      <c r="O7" s="25">
        <f>'План продаж'!P20</f>
        <v>564000</v>
      </c>
      <c r="P7" s="25">
        <f>'План продаж'!Q20</f>
        <v>814000</v>
      </c>
      <c r="Q7" s="25">
        <f>'План продаж'!R20</f>
        <v>886000</v>
      </c>
      <c r="R7" s="25">
        <f>'План продаж'!S20</f>
        <v>886000</v>
      </c>
      <c r="S7" s="25">
        <f>'План продаж'!T20</f>
        <v>1136000</v>
      </c>
      <c r="T7" s="25">
        <f>'План продаж'!U20</f>
        <v>1136000</v>
      </c>
      <c r="U7" s="25">
        <f>'План продаж'!V20</f>
        <v>1136000</v>
      </c>
      <c r="V7" s="25">
        <f>'План продаж'!W20</f>
        <v>1208000</v>
      </c>
      <c r="W7" s="25">
        <f>'План продаж'!X20</f>
        <v>1488000</v>
      </c>
      <c r="X7" s="25">
        <f>'План продаж'!Y20</f>
        <v>1488000</v>
      </c>
      <c r="Y7" s="25">
        <f>'План продаж'!Z20</f>
        <v>1488000</v>
      </c>
      <c r="Z7" s="25">
        <f>'План продаж'!AB20</f>
        <v>2585876.7999999998</v>
      </c>
      <c r="AA7" s="25">
        <f>'План продаж'!AC20</f>
        <v>2585876.7999999998</v>
      </c>
      <c r="AB7" s="25">
        <f>'План продаж'!AD20</f>
        <v>3228596.8</v>
      </c>
      <c r="AC7" s="25">
        <f>'План продаж'!AE20</f>
        <v>3414985.5999999996</v>
      </c>
      <c r="AD7" s="25">
        <f>'План продаж'!AF20</f>
        <v>3414985.5999999996</v>
      </c>
      <c r="AE7" s="25">
        <f>'План продаж'!AG20</f>
        <v>3897025.5999999996</v>
      </c>
      <c r="AF7" s="25">
        <f>'План продаж'!AH20</f>
        <v>3897025.5999999996</v>
      </c>
      <c r="AG7" s="25">
        <f>'План продаж'!AI20</f>
        <v>3897025.5999999996</v>
      </c>
      <c r="AH7" s="25">
        <f>'План продаж'!AJ20</f>
        <v>4051278.4</v>
      </c>
      <c r="AI7" s="25">
        <f>'План продаж'!AK20</f>
        <v>4533318.4000000004</v>
      </c>
      <c r="AJ7" s="25">
        <f>'План продаж'!AL20</f>
        <v>4533318.4000000004</v>
      </c>
      <c r="AK7" s="25">
        <f>'План продаж'!AM20</f>
        <v>4533318.4000000004</v>
      </c>
    </row>
    <row r="8" spans="1:37" x14ac:dyDescent="0.35">
      <c r="A8" s="93" t="s">
        <v>140</v>
      </c>
      <c r="B8" s="25">
        <f>SUM(B10:B15)</f>
        <v>0</v>
      </c>
      <c r="C8" s="25">
        <f t="shared" ref="C8:AK8" si="0">SUM(C10:C15)</f>
        <v>0</v>
      </c>
      <c r="D8" s="25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>SUM(M10:M15)</f>
        <v>0</v>
      </c>
      <c r="N8" s="25">
        <f>SUM(N10:N15)</f>
        <v>434117.52989999996</v>
      </c>
      <c r="O8" s="25">
        <f t="shared" si="0"/>
        <v>382217.88989999995</v>
      </c>
      <c r="P8" s="25">
        <f t="shared" si="0"/>
        <v>419717.88989999995</v>
      </c>
      <c r="Q8" s="25">
        <f t="shared" si="0"/>
        <v>430517.88989999995</v>
      </c>
      <c r="R8" s="25">
        <f t="shared" si="0"/>
        <v>581069.88989999995</v>
      </c>
      <c r="S8" s="25">
        <f t="shared" si="0"/>
        <v>468017.88989999995</v>
      </c>
      <c r="T8" s="25">
        <f t="shared" si="0"/>
        <v>553009.12979999988</v>
      </c>
      <c r="U8" s="25">
        <f t="shared" si="0"/>
        <v>553009.12979999988</v>
      </c>
      <c r="V8" s="25">
        <f t="shared" si="0"/>
        <v>623309.12979999988</v>
      </c>
      <c r="W8" s="25">
        <f t="shared" si="0"/>
        <v>605809.1298</v>
      </c>
      <c r="X8" s="25">
        <f t="shared" si="0"/>
        <v>696861.1298</v>
      </c>
      <c r="Y8" s="25">
        <f t="shared" si="0"/>
        <v>605809.1298</v>
      </c>
      <c r="Z8" s="25">
        <f t="shared" si="0"/>
        <v>748740.43440975994</v>
      </c>
      <c r="AA8" s="25">
        <f t="shared" si="0"/>
        <v>693145.54004175984</v>
      </c>
      <c r="AB8" s="25">
        <f t="shared" si="0"/>
        <v>923509.24244175991</v>
      </c>
      <c r="AC8" s="25">
        <f t="shared" si="0"/>
        <v>817511.86004175991</v>
      </c>
      <c r="AD8" s="25">
        <f t="shared" si="0"/>
        <v>881248.26004175982</v>
      </c>
      <c r="AE8" s="25">
        <f t="shared" si="0"/>
        <v>889817.86004175991</v>
      </c>
      <c r="AF8" s="25">
        <f t="shared" si="0"/>
        <v>926238.66004175995</v>
      </c>
      <c r="AG8" s="25">
        <f t="shared" si="0"/>
        <v>987352.76244175993</v>
      </c>
      <c r="AH8" s="25">
        <f t="shared" si="0"/>
        <v>976692.18004175986</v>
      </c>
      <c r="AI8" s="25">
        <f t="shared" si="0"/>
        <v>985261.78004175995</v>
      </c>
      <c r="AJ8" s="25">
        <f t="shared" si="0"/>
        <v>1082796.6824417599</v>
      </c>
      <c r="AK8" s="25">
        <f t="shared" si="0"/>
        <v>1021682.58004176</v>
      </c>
    </row>
    <row r="9" spans="1:37" x14ac:dyDescent="0.35">
      <c r="A9" s="93" t="s">
        <v>138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</row>
    <row r="10" spans="1:37" ht="29" x14ac:dyDescent="0.35">
      <c r="A10" s="94" t="s">
        <v>87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 t="str">
        <f>'[1]Прогноз расходов'!L6</f>
        <v>-</v>
      </c>
      <c r="M10" s="25" t="str">
        <f>'[1]Прогноз расходов'!M6</f>
        <v>-</v>
      </c>
      <c r="N10" s="25">
        <f>'Прогноз расходов'!O5</f>
        <v>53560</v>
      </c>
      <c r="O10" s="25" t="str">
        <f>'Прогноз расходов'!P5</f>
        <v>-</v>
      </c>
      <c r="P10" s="25" t="str">
        <f>'Прогноз расходов'!Q5</f>
        <v>-</v>
      </c>
      <c r="Q10" s="25" t="str">
        <f>'Прогноз расходов'!R5</f>
        <v>-</v>
      </c>
      <c r="R10" s="25" t="str">
        <f>'Прогноз расходов'!S5</f>
        <v>-</v>
      </c>
      <c r="S10" s="25" t="str">
        <f>'Прогноз расходов'!T5</f>
        <v>-</v>
      </c>
      <c r="T10" s="25" t="str">
        <f>'Прогноз расходов'!U5</f>
        <v>-</v>
      </c>
      <c r="U10" s="25" t="str">
        <f>'Прогноз расходов'!V5</f>
        <v>-</v>
      </c>
      <c r="V10" s="25" t="str">
        <f>'Прогноз расходов'!W5</f>
        <v>-</v>
      </c>
      <c r="W10" s="25" t="str">
        <f>'Прогноз расходов'!X5</f>
        <v>-</v>
      </c>
      <c r="X10" s="25" t="str">
        <f>'Прогноз расходов'!Y5</f>
        <v>-</v>
      </c>
      <c r="Y10" s="25" t="str">
        <f>'Прогноз расходов'!Z5</f>
        <v>-</v>
      </c>
      <c r="Z10" s="25">
        <f>'[1]Прогноз расходов'!AB6</f>
        <v>57373.471999999994</v>
      </c>
      <c r="AA10" s="25" t="str">
        <f>'[1]Прогноз расходов'!AC6</f>
        <v>-</v>
      </c>
      <c r="AB10" s="25" t="str">
        <f>'[1]Прогноз расходов'!AD6</f>
        <v>-</v>
      </c>
      <c r="AC10" s="25" t="str">
        <f>'[1]Прогноз расходов'!AE6</f>
        <v>-</v>
      </c>
      <c r="AD10" s="25" t="str">
        <f>'[1]Прогноз расходов'!AF6</f>
        <v>-</v>
      </c>
      <c r="AE10" s="25" t="str">
        <f>'[1]Прогноз расходов'!AG6</f>
        <v>-</v>
      </c>
      <c r="AF10" s="25" t="str">
        <f>'[1]Прогноз расходов'!AH6</f>
        <v>-</v>
      </c>
      <c r="AG10" s="25" t="str">
        <f>'[1]Прогноз расходов'!AI6</f>
        <v>-</v>
      </c>
      <c r="AH10" s="25" t="str">
        <f>'[1]Прогноз расходов'!AJ6</f>
        <v>-</v>
      </c>
      <c r="AI10" s="25" t="str">
        <f>'[1]Прогноз расходов'!AK6</f>
        <v>-</v>
      </c>
      <c r="AJ10" s="25" t="str">
        <f>'[1]Прогноз расходов'!AL6</f>
        <v>-</v>
      </c>
      <c r="AK10" s="25" t="str">
        <f>'[1]Прогноз расходов'!AM6</f>
        <v>-</v>
      </c>
    </row>
    <row r="11" spans="1:37" x14ac:dyDescent="0.35">
      <c r="A11" s="94" t="s">
        <v>88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 t="str">
        <f>'[1]Прогноз расходов'!L7</f>
        <v>-</v>
      </c>
      <c r="M11" s="25" t="str">
        <f>'[1]Прогноз расходов'!M7</f>
        <v>-</v>
      </c>
      <c r="N11" s="25">
        <f>'Прогноз расходов'!O6</f>
        <v>7498.4</v>
      </c>
      <c r="O11" s="25" t="str">
        <f>'Прогноз расходов'!P6</f>
        <v>-</v>
      </c>
      <c r="P11" s="25" t="str">
        <f>'Прогноз расходов'!Q6</f>
        <v>-</v>
      </c>
      <c r="Q11" s="25" t="str">
        <f>'Прогноз расходов'!R6</f>
        <v>-</v>
      </c>
      <c r="R11" s="25" t="str">
        <f>'Прогноз расходов'!S6</f>
        <v>-</v>
      </c>
      <c r="S11" s="25" t="str">
        <f>'Прогноз расходов'!T6</f>
        <v>-</v>
      </c>
      <c r="T11" s="25" t="str">
        <f>'Прогноз расходов'!U6</f>
        <v>-</v>
      </c>
      <c r="U11" s="25" t="str">
        <f>'Прогноз расходов'!V6</f>
        <v>-</v>
      </c>
      <c r="V11" s="25" t="str">
        <f>'Прогноз расходов'!W6</f>
        <v>-</v>
      </c>
      <c r="W11" s="25" t="str">
        <f>'Прогноз расходов'!X6</f>
        <v>-</v>
      </c>
      <c r="X11" s="25" t="str">
        <f>'Прогноз расходов'!Y6</f>
        <v>-</v>
      </c>
      <c r="Y11" s="25" t="str">
        <f>'Прогноз расходов'!Z6</f>
        <v>-</v>
      </c>
      <c r="Z11" s="25">
        <f>'[1]Прогноз расходов'!AB7</f>
        <v>8032.2860799999989</v>
      </c>
      <c r="AA11" s="25" t="str">
        <f>'[1]Прогноз расходов'!AC7</f>
        <v>-</v>
      </c>
      <c r="AB11" s="25" t="str">
        <f>'[1]Прогноз расходов'!AD7</f>
        <v>-</v>
      </c>
      <c r="AC11" s="25" t="str">
        <f>'[1]Прогноз расходов'!AE7</f>
        <v>-</v>
      </c>
      <c r="AD11" s="25" t="str">
        <f>'[1]Прогноз расходов'!AF7</f>
        <v>-</v>
      </c>
      <c r="AE11" s="25" t="str">
        <f>'[1]Прогноз расходов'!AG7</f>
        <v>-</v>
      </c>
      <c r="AF11" s="25" t="str">
        <f>'[1]Прогноз расходов'!AH7</f>
        <v>-</v>
      </c>
      <c r="AG11" s="25" t="str">
        <f>'[1]Прогноз расходов'!AI7</f>
        <v>-</v>
      </c>
      <c r="AH11" s="25" t="str">
        <f>'[1]Прогноз расходов'!AJ7</f>
        <v>-</v>
      </c>
      <c r="AI11" s="25" t="str">
        <f>'[1]Прогноз расходов'!AK7</f>
        <v>-</v>
      </c>
      <c r="AJ11" s="25" t="str">
        <f>'[1]Прогноз расходов'!AL7</f>
        <v>-</v>
      </c>
      <c r="AK11" s="25" t="str">
        <f>'[1]Прогноз расходов'!AM7</f>
        <v>-</v>
      </c>
    </row>
    <row r="12" spans="1:37" ht="29" x14ac:dyDescent="0.35">
      <c r="A12" s="94" t="s">
        <v>68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f>'Прогноз расходов'!O7</f>
        <v>294638.69399999996</v>
      </c>
      <c r="O12" s="25">
        <f>'Прогноз расходов'!P7</f>
        <v>294638.69399999996</v>
      </c>
      <c r="P12" s="25">
        <f>'Прогноз расходов'!Q7</f>
        <v>294638.69399999996</v>
      </c>
      <c r="Q12" s="25">
        <f>'Прогноз расходов'!R7</f>
        <v>294638.69399999996</v>
      </c>
      <c r="R12" s="25">
        <f>'Прогноз расходов'!S7</f>
        <v>294638.69399999996</v>
      </c>
      <c r="S12" s="25">
        <f>'Прогноз расходов'!T7</f>
        <v>294638.69399999996</v>
      </c>
      <c r="T12" s="25">
        <f>'Прогноз расходов'!U7</f>
        <v>394628.38799999992</v>
      </c>
      <c r="U12" s="25">
        <f>'Прогноз расходов'!V7</f>
        <v>394628.38799999992</v>
      </c>
      <c r="V12" s="25">
        <f>'Прогноз расходов'!W7</f>
        <v>394628.38799999992</v>
      </c>
      <c r="W12" s="25">
        <f>'Прогноз расходов'!X7</f>
        <v>394628.38799999992</v>
      </c>
      <c r="X12" s="25">
        <f>'Прогноз расходов'!Y7</f>
        <v>394628.38799999992</v>
      </c>
      <c r="Y12" s="25">
        <f>'Прогноз расходов'!Z7</f>
        <v>394628.38799999992</v>
      </c>
      <c r="Z12" s="25">
        <f>'Прогноз расходов'!AB7</f>
        <v>342530.54122559994</v>
      </c>
      <c r="AA12" s="25">
        <f>'Прогноз расходов'!AC7</f>
        <v>342530.54122559994</v>
      </c>
      <c r="AB12" s="25">
        <f>'Прогноз расходов'!AD7</f>
        <v>342530.54122559994</v>
      </c>
      <c r="AC12" s="25">
        <f>'Прогноз расходов'!AE7</f>
        <v>342530.54122559994</v>
      </c>
      <c r="AD12" s="25">
        <f>'Прогноз расходов'!AF7</f>
        <v>342530.54122559994</v>
      </c>
      <c r="AE12" s="25">
        <f>'Прогноз расходов'!AG7</f>
        <v>342530.54122559994</v>
      </c>
      <c r="AF12" s="25">
        <f>'Прогноз расходов'!AH7</f>
        <v>342530.54122559994</v>
      </c>
      <c r="AG12" s="25">
        <f>'Прогноз расходов'!AI7</f>
        <v>342530.54122559994</v>
      </c>
      <c r="AH12" s="25">
        <f>'Прогноз расходов'!AJ7</f>
        <v>342530.54122559994</v>
      </c>
      <c r="AI12" s="25">
        <f>'Прогноз расходов'!AK7</f>
        <v>342530.54122559994</v>
      </c>
      <c r="AJ12" s="25">
        <f>'Прогноз расходов'!AL7</f>
        <v>342530.54122559994</v>
      </c>
      <c r="AK12" s="25">
        <f>'Прогноз расходов'!AM7</f>
        <v>342530.54122559994</v>
      </c>
    </row>
    <row r="13" spans="1:37" ht="29" x14ac:dyDescent="0.35">
      <c r="A13" s="94" t="s">
        <v>98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f>'[1]Прогноз расходов'!L9</f>
        <v>0</v>
      </c>
      <c r="M13" s="25">
        <f>'[1]Прогноз расходов'!M9</f>
        <v>0</v>
      </c>
      <c r="N13" s="25">
        <f>'Прогноз расходов'!O8</f>
        <v>15500</v>
      </c>
      <c r="O13" s="25">
        <f>'Прогноз расходов'!P8</f>
        <v>15500</v>
      </c>
      <c r="P13" s="25">
        <f>'Прогноз расходов'!Q8</f>
        <v>15500</v>
      </c>
      <c r="Q13" s="25">
        <f>'Прогноз расходов'!R8</f>
        <v>15500</v>
      </c>
      <c r="R13" s="25">
        <f>'Прогноз расходов'!S8</f>
        <v>15500</v>
      </c>
      <c r="S13" s="25">
        <f>'Прогноз расходов'!T8</f>
        <v>15500</v>
      </c>
      <c r="T13" s="25">
        <f>'Прогноз расходов'!U8</f>
        <v>15500</v>
      </c>
      <c r="U13" s="25">
        <f>'Прогноз расходов'!V8</f>
        <v>15500</v>
      </c>
      <c r="V13" s="25">
        <f>'Прогноз расходов'!W8</f>
        <v>15500</v>
      </c>
      <c r="W13" s="25">
        <f>'Прогноз расходов'!X8</f>
        <v>15500</v>
      </c>
      <c r="X13" s="25">
        <f>'Прогноз расходов'!Y8</f>
        <v>15500</v>
      </c>
      <c r="Y13" s="25">
        <f>'Прогноз расходов'!Z8</f>
        <v>15500</v>
      </c>
      <c r="Z13" s="25">
        <f>'Прогноз расходов'!AB8</f>
        <v>16603.599999999999</v>
      </c>
      <c r="AA13" s="25">
        <f>'Прогноз расходов'!AC8</f>
        <v>16603.599999999999</v>
      </c>
      <c r="AB13" s="25">
        <f>'Прогноз расходов'!AD8</f>
        <v>16603.599999999999</v>
      </c>
      <c r="AC13" s="25">
        <f>'Прогноз расходов'!AE8</f>
        <v>16603.599999999999</v>
      </c>
      <c r="AD13" s="25">
        <f>'Прогноз расходов'!AF8</f>
        <v>16603.599999999999</v>
      </c>
      <c r="AE13" s="25">
        <f>'Прогноз расходов'!AG8</f>
        <v>16603.599999999999</v>
      </c>
      <c r="AF13" s="25">
        <f>'Прогноз расходов'!AH8</f>
        <v>16603.599999999999</v>
      </c>
      <c r="AG13" s="25">
        <f>'Прогноз расходов'!AI8</f>
        <v>16603.599999999999</v>
      </c>
      <c r="AH13" s="25">
        <f>'Прогноз расходов'!AJ8</f>
        <v>16603.599999999999</v>
      </c>
      <c r="AI13" s="25">
        <f>'Прогноз расходов'!AK8</f>
        <v>16603.599999999999</v>
      </c>
      <c r="AJ13" s="25">
        <f>'Прогноз расходов'!AL8</f>
        <v>16603.599999999999</v>
      </c>
      <c r="AK13" s="25">
        <f>'Прогноз расходов'!AM8</f>
        <v>16603.599999999999</v>
      </c>
    </row>
    <row r="14" spans="1:37" x14ac:dyDescent="0.35">
      <c r="A14" s="94" t="s">
        <v>113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f>'[1]Прогноз расходов'!L10</f>
        <v>0</v>
      </c>
      <c r="M14" s="25">
        <f>'[1]Прогноз расходов'!M10</f>
        <v>0</v>
      </c>
      <c r="N14" s="25">
        <f>'Прогноз расходов'!O9</f>
        <v>40000</v>
      </c>
      <c r="O14" s="25">
        <f>'Прогноз расходов'!P9</f>
        <v>40000</v>
      </c>
      <c r="P14" s="25">
        <f>'Прогноз расходов'!Q9</f>
        <v>40000</v>
      </c>
      <c r="Q14" s="25">
        <f>'Прогноз расходов'!R9</f>
        <v>40000</v>
      </c>
      <c r="R14" s="25">
        <f>'Прогноз расходов'!S9</f>
        <v>217120</v>
      </c>
      <c r="S14" s="25">
        <f>'Прогноз расходов'!T9</f>
        <v>40000</v>
      </c>
      <c r="T14" s="25">
        <f>'Прогноз расходов'!U9</f>
        <v>40000</v>
      </c>
      <c r="U14" s="25">
        <f>'Прогноз расходов'!V9</f>
        <v>40000</v>
      </c>
      <c r="V14" s="25">
        <f>'Прогноз расходов'!W9</f>
        <v>110000</v>
      </c>
      <c r="W14" s="25">
        <f>'Прогноз расходов'!X9</f>
        <v>40000</v>
      </c>
      <c r="X14" s="25">
        <f>'Прогноз расходов'!Y9</f>
        <v>147120</v>
      </c>
      <c r="Y14" s="25">
        <f>'Прогноз расходов'!Z9</f>
        <v>40000</v>
      </c>
      <c r="Z14" s="25">
        <f>'Прогноз расходов'!AB9</f>
        <v>0</v>
      </c>
      <c r="AA14" s="25">
        <f>'Прогноз расходов'!AC9</f>
        <v>0</v>
      </c>
      <c r="AB14" s="25">
        <f>'Прогноз расходов'!AD9</f>
        <v>157594.94399999999</v>
      </c>
      <c r="AC14" s="25">
        <f>'Прогноз расходов'!AE9</f>
        <v>0</v>
      </c>
      <c r="AD14" s="25">
        <f>'Прогноз расходов'!AF9</f>
        <v>74984</v>
      </c>
      <c r="AE14" s="25">
        <f>'Прогноз расходов'!AG9</f>
        <v>0</v>
      </c>
      <c r="AF14" s="25">
        <f>'Прогноз расходов'!AH9</f>
        <v>42848</v>
      </c>
      <c r="AG14" s="25">
        <f>'Прогноз расходов'!AI9</f>
        <v>114746.94399999999</v>
      </c>
      <c r="AH14" s="25">
        <f>'Прогноз расходов'!AJ9</f>
        <v>74984</v>
      </c>
      <c r="AI14" s="25">
        <f>'Прогноз расходов'!AK9</f>
        <v>0</v>
      </c>
      <c r="AJ14" s="25">
        <f>'Прогноз расходов'!AL9</f>
        <v>114746.94399999999</v>
      </c>
      <c r="AK14" s="25">
        <f>'Прогноз расходов'!AM9</f>
        <v>42848</v>
      </c>
    </row>
    <row r="15" spans="1:37" x14ac:dyDescent="0.35">
      <c r="A15" s="95" t="s">
        <v>141</v>
      </c>
      <c r="B15" s="25">
        <f>'Бюджет доходов и расходов (БДР)'!B8</f>
        <v>0</v>
      </c>
      <c r="C15" s="25">
        <f>'Бюджет доходов и расходов (БДР)'!C8</f>
        <v>0</v>
      </c>
      <c r="D15" s="25">
        <f>'Бюджет доходов и расходов (БДР)'!D8</f>
        <v>0</v>
      </c>
      <c r="E15" s="25">
        <f>'Бюджет доходов и расходов (БДР)'!E8</f>
        <v>0</v>
      </c>
      <c r="F15" s="25">
        <f>'Бюджет доходов и расходов (БДР)'!F8</f>
        <v>0</v>
      </c>
      <c r="G15" s="25">
        <f>'Бюджет доходов и расходов (БДР)'!G8</f>
        <v>0</v>
      </c>
      <c r="H15" s="25">
        <f>'Бюджет доходов и расходов (БДР)'!H8</f>
        <v>0</v>
      </c>
      <c r="I15" s="25">
        <f>'Бюджет доходов и расходов (БДР)'!I8</f>
        <v>0</v>
      </c>
      <c r="J15" s="25">
        <f>'Бюджет доходов и расходов (БДР)'!J8</f>
        <v>0</v>
      </c>
      <c r="K15" s="25">
        <f>'Бюджет доходов и расходов (БДР)'!K8</f>
        <v>0</v>
      </c>
      <c r="L15" s="25">
        <f>'Бюджет доходов и расходов (БДР)'!L8</f>
        <v>0</v>
      </c>
      <c r="M15" s="25">
        <f>'Бюджет доходов и расходов (БДР)'!M8</f>
        <v>0</v>
      </c>
      <c r="N15" s="25">
        <f>'Бюджет доходов и расходов (БДР)'!O8</f>
        <v>22920.4359</v>
      </c>
      <c r="O15" s="25">
        <f>'Бюджет доходов и расходов (БДР)'!P8</f>
        <v>32079.195900000006</v>
      </c>
      <c r="P15" s="25">
        <f>'Бюджет доходов и расходов (БДР)'!Q8</f>
        <v>69579.195900000006</v>
      </c>
      <c r="Q15" s="25">
        <f>'Бюджет доходов и расходов (БДР)'!R8</f>
        <v>80379.195900000006</v>
      </c>
      <c r="R15" s="25">
        <f>'Бюджет доходов и расходов (БДР)'!S8</f>
        <v>53811.195900000013</v>
      </c>
      <c r="S15" s="25">
        <f>'Бюджет доходов и расходов (БДР)'!T8</f>
        <v>117879.19590000001</v>
      </c>
      <c r="T15" s="25">
        <f>'Бюджет доходов и расходов (БДР)'!U8</f>
        <v>102880.7418</v>
      </c>
      <c r="U15" s="25">
        <f>'Бюджет доходов и расходов (БДР)'!V8</f>
        <v>102880.7418</v>
      </c>
      <c r="V15" s="25">
        <f>'Бюджет доходов и расходов (БДР)'!W8</f>
        <v>103180.7418</v>
      </c>
      <c r="W15" s="25">
        <f>'Бюджет доходов и расходов (БДР)'!X8</f>
        <v>155680.74180000002</v>
      </c>
      <c r="X15" s="25">
        <f>'Бюджет доходов и расходов (БДР)'!Y8</f>
        <v>139612.74180000002</v>
      </c>
      <c r="Y15" s="25">
        <f>'Бюджет доходов и расходов (БДР)'!Z8</f>
        <v>155680.74180000002</v>
      </c>
      <c r="Z15" s="25">
        <f>'Бюджет доходов и расходов (БДР)'!AB8</f>
        <v>324200.53510416002</v>
      </c>
      <c r="AA15" s="25">
        <f>'Бюджет доходов и расходов (БДР)'!AC8</f>
        <v>334011.39881615998</v>
      </c>
      <c r="AB15" s="25">
        <f>'Бюджет доходов и расходов (БДР)'!AD8</f>
        <v>406780.15721615998</v>
      </c>
      <c r="AC15" s="25">
        <f>'Бюджет доходов и расходов (БДР)'!AE8</f>
        <v>458377.71881615999</v>
      </c>
      <c r="AD15" s="25">
        <f>'Бюджет доходов и расходов (БДР)'!AF8</f>
        <v>447130.11881615996</v>
      </c>
      <c r="AE15" s="25">
        <f>'Бюджет доходов и расходов (БДР)'!AG8</f>
        <v>530683.71881615999</v>
      </c>
      <c r="AF15" s="25">
        <f>'Бюджет доходов и расходов (БДР)'!AH8</f>
        <v>524256.51881615998</v>
      </c>
      <c r="AG15" s="25">
        <f>'Бюджет доходов и расходов (БДР)'!AI8</f>
        <v>513471.67721615994</v>
      </c>
      <c r="AH15" s="25">
        <f>'Бюджет доходов и расходов (БДР)'!AJ8</f>
        <v>542574.03881615994</v>
      </c>
      <c r="AI15" s="25">
        <f>'Бюджет доходов и расходов (БДР)'!AK8</f>
        <v>626127.63881616003</v>
      </c>
      <c r="AJ15" s="25">
        <f>'Бюджет доходов и расходов (БДР)'!AL8</f>
        <v>608915.59721616004</v>
      </c>
      <c r="AK15" s="25">
        <f>'Бюджет доходов и расходов (БДР)'!AM8</f>
        <v>619700.43881616008</v>
      </c>
    </row>
    <row r="16" spans="1:37" ht="39.5" x14ac:dyDescent="0.35">
      <c r="A16" s="92" t="s">
        <v>142</v>
      </c>
      <c r="B16" s="25">
        <f>B5-B8</f>
        <v>0</v>
      </c>
      <c r="C16" s="25">
        <f>C5-C8</f>
        <v>0</v>
      </c>
      <c r="D16" s="25">
        <f>D5-D8</f>
        <v>0</v>
      </c>
      <c r="E16" s="25">
        <f>E5-E8</f>
        <v>0</v>
      </c>
      <c r="F16" s="25">
        <f>F5-F8</f>
        <v>0</v>
      </c>
      <c r="G16" s="25">
        <f>G5-G8</f>
        <v>0</v>
      </c>
      <c r="H16" s="25">
        <f>H5-H8</f>
        <v>0</v>
      </c>
      <c r="I16" s="25">
        <f>I5-I8</f>
        <v>0</v>
      </c>
      <c r="J16" s="25">
        <f>J5-J8</f>
        <v>0</v>
      </c>
      <c r="K16" s="25">
        <f>K5-K8</f>
        <v>0</v>
      </c>
      <c r="L16" s="25">
        <f>L5-L8</f>
        <v>0</v>
      </c>
      <c r="M16" s="25">
        <f>M5-M8</f>
        <v>0</v>
      </c>
      <c r="N16" s="25">
        <f>N5-N8</f>
        <v>129882.47010000004</v>
      </c>
      <c r="O16" s="25">
        <f>O5-O8</f>
        <v>181782.11010000005</v>
      </c>
      <c r="P16" s="25">
        <f>P5-P8</f>
        <v>394282.11010000005</v>
      </c>
      <c r="Q16" s="25">
        <f>Q5-Q8</f>
        <v>455482.11010000005</v>
      </c>
      <c r="R16" s="25">
        <f>R5-R8</f>
        <v>304930.11010000005</v>
      </c>
      <c r="S16" s="25">
        <f>S5-S8</f>
        <v>667982.11010000005</v>
      </c>
      <c r="T16" s="25">
        <f>T5-T8</f>
        <v>582990.87020000012</v>
      </c>
      <c r="U16" s="25">
        <f>U5-U8</f>
        <v>582990.87020000012</v>
      </c>
      <c r="V16" s="25">
        <f>V5-V8</f>
        <v>584690.87020000012</v>
      </c>
      <c r="W16" s="25">
        <f>W5-W8</f>
        <v>882190.8702</v>
      </c>
      <c r="X16" s="25">
        <f>X5-X8</f>
        <v>791138.8702</v>
      </c>
      <c r="Y16" s="25">
        <f>Y5-Y8</f>
        <v>882190.8702</v>
      </c>
      <c r="Z16" s="25">
        <f>Z5-Z8</f>
        <v>1837136.3655902399</v>
      </c>
      <c r="AA16" s="25">
        <f>AA5-AA8</f>
        <v>1892731.25995824</v>
      </c>
      <c r="AB16" s="25">
        <f>AB5-AB8</f>
        <v>2305087.5575582399</v>
      </c>
      <c r="AC16" s="25">
        <f>AC5-AC8</f>
        <v>2597473.7399582397</v>
      </c>
      <c r="AD16" s="25">
        <f>AD5-AD8</f>
        <v>2533737.3399582398</v>
      </c>
      <c r="AE16" s="25">
        <f>AE5-AE8</f>
        <v>3007207.7399582397</v>
      </c>
      <c r="AF16" s="25">
        <f>AF5-AF8</f>
        <v>2970786.9399582399</v>
      </c>
      <c r="AG16" s="25">
        <f>AG5-AG8</f>
        <v>2909672.8375582397</v>
      </c>
      <c r="AH16" s="25">
        <f>AH5-AH8</f>
        <v>3074586.2199582402</v>
      </c>
      <c r="AI16" s="25">
        <f>AI5-AI8</f>
        <v>3548056.6199582405</v>
      </c>
      <c r="AJ16" s="25">
        <f>AJ5-AJ8</f>
        <v>3450521.7175582405</v>
      </c>
      <c r="AK16" s="25">
        <f>AK5-AK8</f>
        <v>3511635.8199582403</v>
      </c>
    </row>
    <row r="17" spans="1:37" ht="39.5" x14ac:dyDescent="0.35">
      <c r="A17" s="92" t="s">
        <v>143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</row>
    <row r="18" spans="1:37" x14ac:dyDescent="0.35">
      <c r="A18" s="93" t="s">
        <v>137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</row>
    <row r="19" spans="1:37" x14ac:dyDescent="0.35">
      <c r="A19" s="93" t="s">
        <v>140</v>
      </c>
      <c r="B19" s="25">
        <f>SUM(B21:B26)</f>
        <v>518666.8</v>
      </c>
      <c r="C19" s="25">
        <f t="shared" ref="C19:L19" si="1">SUM(C21:C26)</f>
        <v>197643.6</v>
      </c>
      <c r="D19" s="25">
        <f t="shared" si="1"/>
        <v>197643.6</v>
      </c>
      <c r="E19" s="25">
        <f>SUM(E21:E26)</f>
        <v>297643.59999999998</v>
      </c>
      <c r="F19" s="25">
        <f t="shared" si="1"/>
        <v>197643.6</v>
      </c>
      <c r="G19" s="25">
        <f t="shared" si="1"/>
        <v>155719.19999999998</v>
      </c>
      <c r="H19" s="25">
        <f t="shared" si="1"/>
        <v>155719.19999999998</v>
      </c>
      <c r="I19" s="25">
        <f t="shared" si="1"/>
        <v>155719.19999999998</v>
      </c>
      <c r="J19" s="25">
        <f t="shared" si="1"/>
        <v>297643.59999999998</v>
      </c>
      <c r="K19" s="25">
        <f t="shared" si="1"/>
        <v>155719.19999999998</v>
      </c>
      <c r="L19" s="25">
        <f t="shared" si="1"/>
        <v>155719.19999999998</v>
      </c>
      <c r="M19" s="25">
        <f>SUM(M21:M26)</f>
        <v>514519.2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</row>
    <row r="20" spans="1:37" x14ac:dyDescent="0.35">
      <c r="A20" s="93" t="s">
        <v>138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</row>
    <row r="21" spans="1:37" ht="29" x14ac:dyDescent="0.35">
      <c r="A21" s="94" t="s">
        <v>87</v>
      </c>
      <c r="B21" s="25">
        <f>'Прогноз расходов'!B5</f>
        <v>57023.199999999997</v>
      </c>
      <c r="C21" s="25" t="str">
        <f>'Прогноз расходов'!C5</f>
        <v>-</v>
      </c>
      <c r="D21" s="25" t="str">
        <f>'Прогноз расходов'!D5</f>
        <v>-</v>
      </c>
      <c r="E21" s="25" t="str">
        <f>'Прогноз расходов'!E5</f>
        <v>-</v>
      </c>
      <c r="F21" s="25" t="str">
        <f>'Прогноз расходов'!F5</f>
        <v>-</v>
      </c>
      <c r="G21" s="25" t="str">
        <f>'Прогноз расходов'!G5</f>
        <v>-</v>
      </c>
      <c r="H21" s="25" t="str">
        <f>'Прогноз расходов'!H5</f>
        <v>-</v>
      </c>
      <c r="I21" s="25" t="str">
        <f>'Прогноз расходов'!I5</f>
        <v>-</v>
      </c>
      <c r="J21" s="25" t="str">
        <f>'Прогноз расходов'!J5</f>
        <v>-</v>
      </c>
      <c r="K21" s="25" t="str">
        <f>'Прогноз расходов'!K5</f>
        <v>-</v>
      </c>
      <c r="L21" s="25" t="str">
        <f>'Прогноз расходов'!L5</f>
        <v>-</v>
      </c>
      <c r="M21" s="25" t="str">
        <f>'Прогноз расходов'!M5</f>
        <v>-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</row>
    <row r="22" spans="1:37" x14ac:dyDescent="0.35">
      <c r="A22" s="94" t="s">
        <v>88</v>
      </c>
      <c r="B22" s="25">
        <f>'Прогноз расходов'!B6</f>
        <v>7000</v>
      </c>
      <c r="C22" s="25" t="str">
        <f>'Прогноз расходов'!C6</f>
        <v>-</v>
      </c>
      <c r="D22" s="25" t="str">
        <f>'Прогноз расходов'!D6</f>
        <v>-</v>
      </c>
      <c r="E22" s="25" t="str">
        <f>'Прогноз расходов'!E6</f>
        <v>-</v>
      </c>
      <c r="F22" s="25" t="str">
        <f>'Прогноз расходов'!F6</f>
        <v>-</v>
      </c>
      <c r="G22" s="25" t="str">
        <f>'Прогноз расходов'!G6</f>
        <v>-</v>
      </c>
      <c r="H22" s="25" t="str">
        <f>'Прогноз расходов'!H6</f>
        <v>-</v>
      </c>
      <c r="I22" s="25" t="str">
        <f>'Прогноз расходов'!I6</f>
        <v>-</v>
      </c>
      <c r="J22" s="25" t="str">
        <f>'Прогноз расходов'!J6</f>
        <v>-</v>
      </c>
      <c r="K22" s="25" t="str">
        <f>'Прогноз расходов'!K6</f>
        <v>-</v>
      </c>
      <c r="L22" s="25" t="str">
        <f>'Прогноз расходов'!L6</f>
        <v>-</v>
      </c>
      <c r="M22" s="25" t="str">
        <f>'Прогноз расходов'!M6</f>
        <v>-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</row>
    <row r="23" spans="1:37" ht="29" x14ac:dyDescent="0.35">
      <c r="A23" s="94" t="s">
        <v>68</v>
      </c>
      <c r="B23" s="25">
        <f>'Прогноз расходов'!B7</f>
        <v>197643.6</v>
      </c>
      <c r="C23" s="25">
        <f>'Прогноз расходов'!C7</f>
        <v>197643.6</v>
      </c>
      <c r="D23" s="25">
        <f>'Прогноз расходов'!D7</f>
        <v>197643.6</v>
      </c>
      <c r="E23" s="25">
        <f>'Прогноз расходов'!E7</f>
        <v>197643.6</v>
      </c>
      <c r="F23" s="25">
        <f>'Прогноз расходов'!F7</f>
        <v>197643.6</v>
      </c>
      <c r="G23" s="25">
        <f>'Прогноз расходов'!G7</f>
        <v>155719.19999999998</v>
      </c>
      <c r="H23" s="25">
        <f>'Прогноз расходов'!H7</f>
        <v>155719.19999999998</v>
      </c>
      <c r="I23" s="25">
        <f>'Прогноз расходов'!I7</f>
        <v>155719.19999999998</v>
      </c>
      <c r="J23" s="25">
        <f>'Прогноз расходов'!J7</f>
        <v>197643.6</v>
      </c>
      <c r="K23" s="25">
        <f>'Прогноз расходов'!K7</f>
        <v>155719.19999999998</v>
      </c>
      <c r="L23" s="25">
        <f>'Прогноз расходов'!L7</f>
        <v>155719.19999999998</v>
      </c>
      <c r="M23" s="25">
        <f>'Прогноз расходов'!M7</f>
        <v>514519.2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</row>
    <row r="24" spans="1:37" ht="29" x14ac:dyDescent="0.35">
      <c r="A24" s="94" t="s">
        <v>98</v>
      </c>
      <c r="B24" s="25">
        <f>'Прогноз расходов'!B8</f>
        <v>0</v>
      </c>
      <c r="C24" s="25">
        <f>'Прогноз расходов'!C8</f>
        <v>0</v>
      </c>
      <c r="D24" s="25">
        <f>'Прогноз расходов'!D8</f>
        <v>0</v>
      </c>
      <c r="E24" s="25">
        <f>'Прогноз расходов'!E8</f>
        <v>0</v>
      </c>
      <c r="F24" s="25">
        <f>'Прогноз расходов'!F8</f>
        <v>0</v>
      </c>
      <c r="G24" s="25">
        <f>'Прогноз расходов'!G8</f>
        <v>0</v>
      </c>
      <c r="H24" s="25">
        <f>'Прогноз расходов'!H8</f>
        <v>0</v>
      </c>
      <c r="I24" s="25">
        <f>'Прогноз расходов'!I8</f>
        <v>0</v>
      </c>
      <c r="J24" s="25">
        <f>'Прогноз расходов'!J8</f>
        <v>0</v>
      </c>
      <c r="K24" s="25">
        <f>'Прогноз расходов'!K8</f>
        <v>0</v>
      </c>
      <c r="L24" s="25">
        <f>'Прогноз расходов'!L8</f>
        <v>0</v>
      </c>
      <c r="M24" s="25">
        <f>'Прогноз расходов'!M8</f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</row>
    <row r="25" spans="1:37" x14ac:dyDescent="0.35">
      <c r="A25" s="94" t="s">
        <v>113</v>
      </c>
      <c r="B25" s="25">
        <f>'Прогноз расходов'!B9</f>
        <v>0</v>
      </c>
      <c r="C25" s="25">
        <f>'Прогноз расходов'!C9</f>
        <v>0</v>
      </c>
      <c r="D25" s="25">
        <f>'Прогноз расходов'!D9</f>
        <v>0</v>
      </c>
      <c r="E25" s="25">
        <f>'Прогноз расходов'!E9</f>
        <v>100000</v>
      </c>
      <c r="F25" s="25">
        <f>'Прогноз расходов'!F9</f>
        <v>0</v>
      </c>
      <c r="G25" s="25">
        <f>'Прогноз расходов'!G9</f>
        <v>0</v>
      </c>
      <c r="H25" s="25">
        <f>'Прогноз расходов'!H9</f>
        <v>0</v>
      </c>
      <c r="I25" s="25">
        <f>'Прогноз расходов'!I9</f>
        <v>0</v>
      </c>
      <c r="J25" s="25">
        <f>'Прогноз расходов'!J9</f>
        <v>100000</v>
      </c>
      <c r="K25" s="25">
        <f>'Прогноз расходов'!K9</f>
        <v>0</v>
      </c>
      <c r="L25" s="25">
        <f>'Прогноз расходов'!L9</f>
        <v>0</v>
      </c>
      <c r="M25" s="25">
        <f>'Прогноз расходов'!M9</f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</row>
    <row r="26" spans="1:37" x14ac:dyDescent="0.35">
      <c r="A26" s="2" t="s">
        <v>144</v>
      </c>
      <c r="B26" s="25">
        <f>'Прогноз расходов'!D16</f>
        <v>257000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</row>
    <row r="27" spans="1:37" ht="52.5" x14ac:dyDescent="0.35">
      <c r="A27" s="92" t="s">
        <v>145</v>
      </c>
      <c r="B27" s="25">
        <f>B18-B19</f>
        <v>-518666.8</v>
      </c>
      <c r="C27" s="25">
        <f>C18-C19</f>
        <v>-197643.6</v>
      </c>
      <c r="D27" s="25">
        <f>D18-D19</f>
        <v>-197643.6</v>
      </c>
      <c r="E27" s="25">
        <f>E18-E19</f>
        <v>-297643.59999999998</v>
      </c>
      <c r="F27" s="25">
        <f t="shared" ref="F27:AK27" si="2">F18-F19</f>
        <v>-197643.6</v>
      </c>
      <c r="G27" s="25">
        <f t="shared" si="2"/>
        <v>-155719.19999999998</v>
      </c>
      <c r="H27" s="25">
        <f t="shared" si="2"/>
        <v>-155719.19999999998</v>
      </c>
      <c r="I27" s="25">
        <f t="shared" si="2"/>
        <v>-155719.19999999998</v>
      </c>
      <c r="J27" s="25">
        <f t="shared" si="2"/>
        <v>-297643.59999999998</v>
      </c>
      <c r="K27" s="25">
        <f>K18-K19</f>
        <v>-155719.19999999998</v>
      </c>
      <c r="L27" s="25">
        <f t="shared" si="2"/>
        <v>-155719.19999999998</v>
      </c>
      <c r="M27" s="25">
        <f t="shared" si="2"/>
        <v>-514519.2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  <c r="W27" s="25">
        <f t="shared" si="2"/>
        <v>0</v>
      </c>
      <c r="X27" s="25">
        <f t="shared" si="2"/>
        <v>0</v>
      </c>
      <c r="Y27" s="25">
        <f t="shared" si="2"/>
        <v>0</v>
      </c>
      <c r="Z27" s="25">
        <f t="shared" si="2"/>
        <v>0</v>
      </c>
      <c r="AA27" s="25">
        <f t="shared" si="2"/>
        <v>0</v>
      </c>
      <c r="AB27" s="25">
        <f t="shared" si="2"/>
        <v>0</v>
      </c>
      <c r="AC27" s="25">
        <f t="shared" si="2"/>
        <v>0</v>
      </c>
      <c r="AD27" s="25">
        <f t="shared" si="2"/>
        <v>0</v>
      </c>
      <c r="AE27" s="25">
        <f t="shared" si="2"/>
        <v>0</v>
      </c>
      <c r="AF27" s="25">
        <f t="shared" si="2"/>
        <v>0</v>
      </c>
      <c r="AG27" s="25">
        <f t="shared" si="2"/>
        <v>0</v>
      </c>
      <c r="AH27" s="25">
        <f t="shared" si="2"/>
        <v>0</v>
      </c>
      <c r="AI27" s="25">
        <f t="shared" si="2"/>
        <v>0</v>
      </c>
      <c r="AJ27" s="25">
        <f t="shared" si="2"/>
        <v>0</v>
      </c>
      <c r="AK27" s="25">
        <f t="shared" si="2"/>
        <v>0</v>
      </c>
    </row>
    <row r="28" spans="1:37" ht="26.5" x14ac:dyDescent="0.35">
      <c r="A28" s="92" t="s">
        <v>146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</row>
    <row r="29" spans="1:37" x14ac:dyDescent="0.35">
      <c r="A29" s="93" t="s">
        <v>137</v>
      </c>
      <c r="B29" s="25">
        <f>SUM(B31:B31)</f>
        <v>1570000</v>
      </c>
      <c r="C29" s="25">
        <f>SUM(C31:C31)</f>
        <v>0</v>
      </c>
      <c r="D29" s="25">
        <f>SUM(D31:D31)</f>
        <v>0</v>
      </c>
      <c r="E29" s="25">
        <f>SUM(E31:E31)</f>
        <v>0</v>
      </c>
      <c r="F29" s="25">
        <f>SUM(F31:F31)</f>
        <v>0</v>
      </c>
      <c r="G29" s="25">
        <f>SUM(G31:G31)</f>
        <v>0</v>
      </c>
      <c r="H29" s="25">
        <f>SUM(H31:H31)</f>
        <v>1430000</v>
      </c>
      <c r="I29" s="25">
        <f>SUM(I31:I31)</f>
        <v>0</v>
      </c>
      <c r="J29" s="25">
        <f>SUM(J31:J31)</f>
        <v>0</v>
      </c>
      <c r="K29" s="25">
        <f>SUM(K31:K31)</f>
        <v>0</v>
      </c>
      <c r="L29" s="25">
        <f>SUM(L31:L31)</f>
        <v>0</v>
      </c>
      <c r="M29" s="25">
        <f>SUM(M31:M31)</f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</row>
    <row r="30" spans="1:37" x14ac:dyDescent="0.35">
      <c r="A30" s="93" t="s">
        <v>138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</row>
    <row r="31" spans="1:37" ht="26" x14ac:dyDescent="0.35">
      <c r="A31" s="93" t="s">
        <v>147</v>
      </c>
      <c r="B31" s="25">
        <v>1570000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1430000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</row>
    <row r="32" spans="1:37" x14ac:dyDescent="0.35">
      <c r="A32" s="93" t="s">
        <v>140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</row>
    <row r="33" spans="1:37" x14ac:dyDescent="0.35">
      <c r="A33" s="93" t="s">
        <v>138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</row>
    <row r="34" spans="1:37" x14ac:dyDescent="0.35">
      <c r="A34" s="93" t="s">
        <v>148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</row>
    <row r="35" spans="1:37" ht="39.5" x14ac:dyDescent="0.35">
      <c r="A35" s="92" t="s">
        <v>149</v>
      </c>
      <c r="B35" s="25">
        <f>B29-B32</f>
        <v>1570000</v>
      </c>
      <c r="C35" s="25">
        <f>C29-C32</f>
        <v>0</v>
      </c>
      <c r="D35" s="25">
        <f>D29-D32</f>
        <v>0</v>
      </c>
      <c r="E35" s="25">
        <f>E29-E32</f>
        <v>0</v>
      </c>
      <c r="F35" s="25">
        <f>F29-F32</f>
        <v>0</v>
      </c>
      <c r="G35" s="25">
        <f>G29-G32</f>
        <v>0</v>
      </c>
      <c r="H35" s="25">
        <f>H29-H32</f>
        <v>1430000</v>
      </c>
      <c r="I35" s="25">
        <f>I29-I32</f>
        <v>0</v>
      </c>
      <c r="J35" s="25">
        <f>J29-J32</f>
        <v>0</v>
      </c>
      <c r="K35" s="25">
        <f>K29-K32</f>
        <v>0</v>
      </c>
      <c r="L35" s="25">
        <f>L29-L32</f>
        <v>0</v>
      </c>
      <c r="M35" s="25">
        <f>M29-M32</f>
        <v>0</v>
      </c>
      <c r="N35" s="25">
        <f>N29-N32</f>
        <v>0</v>
      </c>
      <c r="O35" s="25">
        <f>O29-O32</f>
        <v>0</v>
      </c>
      <c r="P35" s="25">
        <f>P29-P32</f>
        <v>0</v>
      </c>
      <c r="Q35" s="25">
        <f>Q29-Q32</f>
        <v>0</v>
      </c>
      <c r="R35" s="25">
        <f>R29-R32</f>
        <v>0</v>
      </c>
      <c r="S35" s="25">
        <f>S29-S32</f>
        <v>0</v>
      </c>
      <c r="T35" s="25">
        <f>T29-T32</f>
        <v>0</v>
      </c>
      <c r="U35" s="25">
        <f>U29-U32</f>
        <v>0</v>
      </c>
      <c r="V35" s="25">
        <f>V29-V32</f>
        <v>0</v>
      </c>
      <c r="W35" s="25">
        <f>W29-W32</f>
        <v>0</v>
      </c>
      <c r="X35" s="25">
        <f>X29-X32</f>
        <v>0</v>
      </c>
      <c r="Y35" s="25">
        <f>Y29-Y32</f>
        <v>0</v>
      </c>
      <c r="Z35" s="25">
        <f>Z29-Z32</f>
        <v>0</v>
      </c>
      <c r="AA35" s="25">
        <f>AA29-AA32</f>
        <v>0</v>
      </c>
      <c r="AB35" s="25">
        <f>AB29-AB32</f>
        <v>0</v>
      </c>
      <c r="AC35" s="25">
        <f>AC29-AC32</f>
        <v>0</v>
      </c>
      <c r="AD35" s="25">
        <f>AD29-AD32</f>
        <v>0</v>
      </c>
      <c r="AE35" s="25">
        <f>AE29-AE32</f>
        <v>0</v>
      </c>
      <c r="AF35" s="25">
        <f>AF29-AF32</f>
        <v>0</v>
      </c>
      <c r="AG35" s="25">
        <f>AG29-AG32</f>
        <v>0</v>
      </c>
      <c r="AH35" s="25">
        <f>AH29-AH32</f>
        <v>0</v>
      </c>
      <c r="AI35" s="25">
        <f>AI29-AI32</f>
        <v>0</v>
      </c>
      <c r="AJ35" s="25">
        <f>AJ29-AJ32</f>
        <v>0</v>
      </c>
      <c r="AK35" s="25">
        <f>AK29-AK32</f>
        <v>0</v>
      </c>
    </row>
    <row r="36" spans="1:37" ht="26" x14ac:dyDescent="0.35">
      <c r="A36" s="93" t="s">
        <v>150</v>
      </c>
      <c r="B36" s="25">
        <f>B16+B27+B35</f>
        <v>1051333.2</v>
      </c>
      <c r="C36" s="25">
        <f>C16+C27+C35</f>
        <v>-197643.6</v>
      </c>
      <c r="D36" s="25">
        <f>D16+D27+D35</f>
        <v>-197643.6</v>
      </c>
      <c r="E36" s="25">
        <f>E16+E27+E35</f>
        <v>-297643.59999999998</v>
      </c>
      <c r="F36" s="25">
        <f>F16+F27+F35</f>
        <v>-197643.6</v>
      </c>
      <c r="G36" s="25">
        <f>G16+G27+G35</f>
        <v>-155719.19999999998</v>
      </c>
      <c r="H36" s="25">
        <f>H16+H27+H35</f>
        <v>1274280.8</v>
      </c>
      <c r="I36" s="25">
        <f>I16+I27+I35</f>
        <v>-155719.19999999998</v>
      </c>
      <c r="J36" s="25">
        <f>J16+J27+J35</f>
        <v>-297643.59999999998</v>
      </c>
      <c r="K36" s="25">
        <f>K16+K27+K35</f>
        <v>-155719.19999999998</v>
      </c>
      <c r="L36" s="25">
        <f>L16+L27+L35</f>
        <v>-155719.19999999998</v>
      </c>
      <c r="M36" s="25">
        <f>M16+M27+M35</f>
        <v>-514519.2</v>
      </c>
      <c r="N36" s="25">
        <f>N16+N27+N35</f>
        <v>129882.47010000004</v>
      </c>
      <c r="O36" s="25">
        <f>O16+O27+O35</f>
        <v>181782.11010000005</v>
      </c>
      <c r="P36" s="25">
        <f>P16+P27+P35</f>
        <v>394282.11010000005</v>
      </c>
      <c r="Q36" s="25">
        <f>Q16+Q27+Q35</f>
        <v>455482.11010000005</v>
      </c>
      <c r="R36" s="25">
        <f>R16+R27+R35</f>
        <v>304930.11010000005</v>
      </c>
      <c r="S36" s="25">
        <f>S16+S27+S35</f>
        <v>667982.11010000005</v>
      </c>
      <c r="T36" s="25">
        <f>T16+T27+T35</f>
        <v>582990.87020000012</v>
      </c>
      <c r="U36" s="25">
        <f>U16+U27+U35</f>
        <v>582990.87020000012</v>
      </c>
      <c r="V36" s="25">
        <f>V16+V27+V35</f>
        <v>584690.87020000012</v>
      </c>
      <c r="W36" s="25">
        <f>W16+W27+W35</f>
        <v>882190.8702</v>
      </c>
      <c r="X36" s="25">
        <f>X16+X27+X35</f>
        <v>791138.8702</v>
      </c>
      <c r="Y36" s="25">
        <f>Y16+Y27+Y35</f>
        <v>882190.8702</v>
      </c>
      <c r="Z36" s="25">
        <f>Z16+Z27+Z35</f>
        <v>1837136.3655902399</v>
      </c>
      <c r="AA36" s="25">
        <f>AA16+AA27+AA35</f>
        <v>1892731.25995824</v>
      </c>
      <c r="AB36" s="25">
        <f>AB16+AB27+AB35</f>
        <v>2305087.5575582399</v>
      </c>
      <c r="AC36" s="25">
        <f>AC16+AC27+AC35</f>
        <v>2597473.7399582397</v>
      </c>
      <c r="AD36" s="25">
        <f>AD16+AD27+AD35</f>
        <v>2533737.3399582398</v>
      </c>
      <c r="AE36" s="25">
        <f>AE16+AE27+AE35</f>
        <v>3007207.7399582397</v>
      </c>
      <c r="AF36" s="25">
        <f>AF16+AF27+AF35</f>
        <v>2970786.9399582399</v>
      </c>
      <c r="AG36" s="25">
        <f>AG16+AG27+AG35</f>
        <v>2909672.8375582397</v>
      </c>
      <c r="AH36" s="25">
        <f>AH16+AH27+AH35</f>
        <v>3074586.2199582402</v>
      </c>
      <c r="AI36" s="25">
        <f>AI16+AI27+AI35</f>
        <v>3548056.6199582405</v>
      </c>
      <c r="AJ36" s="25">
        <f>AJ16+AJ27+AJ35</f>
        <v>3450521.7175582405</v>
      </c>
      <c r="AK36" s="25">
        <f>AK16+AK27+AK35</f>
        <v>3511635.8199582403</v>
      </c>
    </row>
    <row r="37" spans="1:37" ht="56.5" customHeight="1" x14ac:dyDescent="0.35">
      <c r="A37" s="93" t="s">
        <v>151</v>
      </c>
      <c r="B37" s="25">
        <v>0</v>
      </c>
      <c r="C37" s="25">
        <f>B38</f>
        <v>1051333.2</v>
      </c>
      <c r="D37" s="25">
        <f>C38</f>
        <v>853689.6</v>
      </c>
      <c r="E37" s="25">
        <f t="shared" ref="E37:M37" si="3">D38</f>
        <v>656046</v>
      </c>
      <c r="F37" s="25">
        <f t="shared" si="3"/>
        <v>358402.4</v>
      </c>
      <c r="G37" s="25">
        <f t="shared" si="3"/>
        <v>160758.80000000002</v>
      </c>
      <c r="H37" s="25">
        <f t="shared" si="3"/>
        <v>5039.6000000000349</v>
      </c>
      <c r="I37" s="25">
        <f t="shared" si="3"/>
        <v>1279320.4000000001</v>
      </c>
      <c r="J37" s="25">
        <f t="shared" si="3"/>
        <v>1123601.2000000002</v>
      </c>
      <c r="K37" s="25">
        <f t="shared" si="3"/>
        <v>825957.60000000021</v>
      </c>
      <c r="L37" s="25">
        <f t="shared" si="3"/>
        <v>670238.40000000026</v>
      </c>
      <c r="M37" s="25">
        <f t="shared" si="3"/>
        <v>514519.2000000003</v>
      </c>
      <c r="N37" s="25">
        <f>M38</f>
        <v>0</v>
      </c>
      <c r="O37" s="25">
        <f>N38</f>
        <v>129882.47010000004</v>
      </c>
      <c r="P37" s="25">
        <f t="shared" ref="P37:AK37" si="4">O38</f>
        <v>311664.58020000008</v>
      </c>
      <c r="Q37" s="25">
        <f t="shared" si="4"/>
        <v>705946.69030000013</v>
      </c>
      <c r="R37" s="25">
        <f t="shared" si="4"/>
        <v>1161428.8004000001</v>
      </c>
      <c r="S37" s="25">
        <f t="shared" si="4"/>
        <v>1466358.9105000002</v>
      </c>
      <c r="T37" s="25">
        <f t="shared" si="4"/>
        <v>2134341.0206000004</v>
      </c>
      <c r="U37" s="25">
        <f t="shared" si="4"/>
        <v>2717331.8908000006</v>
      </c>
      <c r="V37" s="25">
        <f t="shared" si="4"/>
        <v>3300322.7610000009</v>
      </c>
      <c r="W37" s="25">
        <f t="shared" si="4"/>
        <v>3885013.6312000011</v>
      </c>
      <c r="X37" s="25">
        <f t="shared" si="4"/>
        <v>4767204.5014000013</v>
      </c>
      <c r="Y37" s="25">
        <f t="shared" si="4"/>
        <v>5558343.3716000011</v>
      </c>
      <c r="Z37" s="25">
        <f>Y38</f>
        <v>6440534.2418000009</v>
      </c>
      <c r="AA37" s="25">
        <f t="shared" si="4"/>
        <v>8277670.6073902408</v>
      </c>
      <c r="AB37" s="25">
        <f t="shared" si="4"/>
        <v>10170401.867348481</v>
      </c>
      <c r="AC37" s="25">
        <f t="shared" si="4"/>
        <v>12475489.424906721</v>
      </c>
      <c r="AD37" s="25">
        <f t="shared" si="4"/>
        <v>15072963.164864961</v>
      </c>
      <c r="AE37" s="25">
        <f t="shared" si="4"/>
        <v>17606700.5048232</v>
      </c>
      <c r="AF37" s="25">
        <f t="shared" si="4"/>
        <v>20613908.244781442</v>
      </c>
      <c r="AG37" s="25">
        <f t="shared" si="4"/>
        <v>23584695.184739683</v>
      </c>
      <c r="AH37" s="25">
        <f t="shared" si="4"/>
        <v>26494368.022297923</v>
      </c>
      <c r="AI37" s="25">
        <f t="shared" si="4"/>
        <v>29568954.242256165</v>
      </c>
      <c r="AJ37" s="25">
        <f t="shared" si="4"/>
        <v>33117010.862214405</v>
      </c>
      <c r="AK37" s="25">
        <f t="shared" si="4"/>
        <v>36567532.579772644</v>
      </c>
    </row>
    <row r="38" spans="1:37" ht="51" x14ac:dyDescent="0.35">
      <c r="A38" s="93" t="s">
        <v>152</v>
      </c>
      <c r="B38" s="25">
        <f>B36+B37</f>
        <v>1051333.2</v>
      </c>
      <c r="C38" s="25">
        <f>C36+C37</f>
        <v>853689.6</v>
      </c>
      <c r="D38" s="25">
        <f t="shared" ref="D38:M38" si="5">D36+D37</f>
        <v>656046</v>
      </c>
      <c r="E38" s="25">
        <f t="shared" si="5"/>
        <v>358402.4</v>
      </c>
      <c r="F38" s="25">
        <f t="shared" si="5"/>
        <v>160758.80000000002</v>
      </c>
      <c r="G38" s="25">
        <f t="shared" si="5"/>
        <v>5039.6000000000349</v>
      </c>
      <c r="H38" s="25">
        <f t="shared" si="5"/>
        <v>1279320.4000000001</v>
      </c>
      <c r="I38" s="25">
        <f t="shared" si="5"/>
        <v>1123601.2000000002</v>
      </c>
      <c r="J38" s="25">
        <f t="shared" si="5"/>
        <v>825957.60000000021</v>
      </c>
      <c r="K38" s="25">
        <f t="shared" si="5"/>
        <v>670238.40000000026</v>
      </c>
      <c r="L38" s="25">
        <f t="shared" si="5"/>
        <v>514519.2000000003</v>
      </c>
      <c r="M38" s="25">
        <f t="shared" si="5"/>
        <v>0</v>
      </c>
      <c r="N38" s="25">
        <f>N36+N37</f>
        <v>129882.47010000004</v>
      </c>
      <c r="O38" s="25">
        <f t="shared" ref="O38:AJ38" si="6">O36+O37</f>
        <v>311664.58020000008</v>
      </c>
      <c r="P38" s="25">
        <f t="shared" si="6"/>
        <v>705946.69030000013</v>
      </c>
      <c r="Q38" s="25">
        <f t="shared" si="6"/>
        <v>1161428.8004000001</v>
      </c>
      <c r="R38" s="25">
        <f t="shared" si="6"/>
        <v>1466358.9105000002</v>
      </c>
      <c r="S38" s="25">
        <f t="shared" si="6"/>
        <v>2134341.0206000004</v>
      </c>
      <c r="T38" s="25">
        <f t="shared" si="6"/>
        <v>2717331.8908000006</v>
      </c>
      <c r="U38" s="25">
        <f t="shared" si="6"/>
        <v>3300322.7610000009</v>
      </c>
      <c r="V38" s="25">
        <f t="shared" si="6"/>
        <v>3885013.6312000011</v>
      </c>
      <c r="W38" s="25">
        <f t="shared" si="6"/>
        <v>4767204.5014000013</v>
      </c>
      <c r="X38" s="25">
        <f t="shared" si="6"/>
        <v>5558343.3716000011</v>
      </c>
      <c r="Y38" s="25">
        <f t="shared" si="6"/>
        <v>6440534.2418000009</v>
      </c>
      <c r="Z38" s="25">
        <f t="shared" si="6"/>
        <v>8277670.6073902408</v>
      </c>
      <c r="AA38" s="25">
        <f t="shared" si="6"/>
        <v>10170401.867348481</v>
      </c>
      <c r="AB38" s="25">
        <f t="shared" si="6"/>
        <v>12475489.424906721</v>
      </c>
      <c r="AC38" s="25">
        <f t="shared" si="6"/>
        <v>15072963.164864961</v>
      </c>
      <c r="AD38" s="25">
        <f t="shared" si="6"/>
        <v>17606700.5048232</v>
      </c>
      <c r="AE38" s="25">
        <f t="shared" si="6"/>
        <v>20613908.244781442</v>
      </c>
      <c r="AF38" s="25">
        <f t="shared" si="6"/>
        <v>23584695.184739683</v>
      </c>
      <c r="AG38" s="25">
        <f t="shared" si="6"/>
        <v>26494368.022297923</v>
      </c>
      <c r="AH38" s="25">
        <f t="shared" si="6"/>
        <v>29568954.242256165</v>
      </c>
      <c r="AI38" s="25">
        <f t="shared" si="6"/>
        <v>33117010.862214405</v>
      </c>
      <c r="AJ38" s="25">
        <f t="shared" si="6"/>
        <v>36567532.579772644</v>
      </c>
      <c r="AK38" s="25">
        <f>AK36+AK37</f>
        <v>40079168.399730884</v>
      </c>
    </row>
    <row r="41" spans="1:37" x14ac:dyDescent="0.35">
      <c r="A41" s="96"/>
    </row>
    <row r="42" spans="1:37" x14ac:dyDescent="0.35">
      <c r="A42" s="97" t="s">
        <v>153</v>
      </c>
      <c r="B42" s="7">
        <v>2024</v>
      </c>
      <c r="C42" s="7">
        <v>2025</v>
      </c>
      <c r="D42" s="7">
        <v>2026</v>
      </c>
    </row>
    <row r="43" spans="1:37" x14ac:dyDescent="0.35">
      <c r="A43" s="98"/>
      <c r="B43" s="1"/>
      <c r="C43" s="1"/>
      <c r="D43" s="1"/>
    </row>
    <row r="44" spans="1:37" ht="26.5" x14ac:dyDescent="0.35">
      <c r="A44" s="97" t="s">
        <v>136</v>
      </c>
      <c r="B44" s="1"/>
      <c r="C44" s="1"/>
      <c r="D44" s="1"/>
    </row>
    <row r="45" spans="1:37" x14ac:dyDescent="0.35">
      <c r="A45" s="98" t="s">
        <v>137</v>
      </c>
      <c r="B45" s="25">
        <f>SUM(B5:M5)</f>
        <v>0</v>
      </c>
      <c r="C45" s="25">
        <f>SUM(N5:Y5)</f>
        <v>12794000</v>
      </c>
      <c r="D45" s="25">
        <f>SUM(Z5:AK5)</f>
        <v>44572631.999999993</v>
      </c>
    </row>
    <row r="46" spans="1:37" x14ac:dyDescent="0.35">
      <c r="A46" s="98" t="s">
        <v>138</v>
      </c>
      <c r="B46" s="25">
        <f>SUM(B6:M6)</f>
        <v>0</v>
      </c>
      <c r="C46" s="25">
        <f t="shared" ref="C46:C55" si="7">SUM(N6:Y6)</f>
        <v>0</v>
      </c>
      <c r="D46" s="25">
        <f t="shared" ref="D46:D55" si="8">SUM(Z6:AK6)</f>
        <v>0</v>
      </c>
    </row>
    <row r="47" spans="1:37" ht="26" x14ac:dyDescent="0.35">
      <c r="A47" s="98" t="s">
        <v>139</v>
      </c>
      <c r="B47" s="25">
        <f>SUM(B7:M7)</f>
        <v>0</v>
      </c>
      <c r="C47" s="25">
        <f t="shared" si="7"/>
        <v>12794000</v>
      </c>
      <c r="D47" s="25">
        <f t="shared" si="8"/>
        <v>44572631.999999993</v>
      </c>
    </row>
    <row r="48" spans="1:37" x14ac:dyDescent="0.35">
      <c r="A48" s="98" t="s">
        <v>140</v>
      </c>
      <c r="B48" s="25">
        <f>SUM(B8:M8)</f>
        <v>0</v>
      </c>
      <c r="C48" s="25">
        <f t="shared" si="7"/>
        <v>6353465.7582</v>
      </c>
      <c r="D48" s="25">
        <f t="shared" si="8"/>
        <v>10933997.842069121</v>
      </c>
    </row>
    <row r="49" spans="1:4" x14ac:dyDescent="0.35">
      <c r="A49" s="98" t="s">
        <v>138</v>
      </c>
      <c r="B49" s="25">
        <f>SUM(B9:M9)</f>
        <v>0</v>
      </c>
      <c r="C49" s="25">
        <f t="shared" si="7"/>
        <v>0</v>
      </c>
      <c r="D49" s="25">
        <f t="shared" si="8"/>
        <v>0</v>
      </c>
    </row>
    <row r="50" spans="1:4" ht="29" x14ac:dyDescent="0.35">
      <c r="A50" s="94" t="s">
        <v>87</v>
      </c>
      <c r="B50" s="25">
        <f>SUM(B10:M10)</f>
        <v>0</v>
      </c>
      <c r="C50" s="25">
        <f t="shared" si="7"/>
        <v>53560</v>
      </c>
      <c r="D50" s="25">
        <f t="shared" si="8"/>
        <v>57373.471999999994</v>
      </c>
    </row>
    <row r="51" spans="1:4" x14ac:dyDescent="0.35">
      <c r="A51" s="94" t="s">
        <v>88</v>
      </c>
      <c r="B51" s="25">
        <f>SUM(B11:M11)</f>
        <v>0</v>
      </c>
      <c r="C51" s="25">
        <f t="shared" si="7"/>
        <v>7498.4</v>
      </c>
      <c r="D51" s="25">
        <f t="shared" si="8"/>
        <v>8032.2860799999989</v>
      </c>
    </row>
    <row r="52" spans="1:4" ht="29" x14ac:dyDescent="0.35">
      <c r="A52" s="94" t="s">
        <v>68</v>
      </c>
      <c r="B52" s="25">
        <f>SUM(B12:M12)</f>
        <v>0</v>
      </c>
      <c r="C52" s="25">
        <f t="shared" si="7"/>
        <v>4135602.4919999987</v>
      </c>
      <c r="D52" s="25">
        <f t="shared" si="8"/>
        <v>4110366.4947072002</v>
      </c>
    </row>
    <row r="53" spans="1:4" ht="29" x14ac:dyDescent="0.35">
      <c r="A53" s="94" t="s">
        <v>98</v>
      </c>
      <c r="B53" s="25">
        <f>SUM(B13:M13)</f>
        <v>0</v>
      </c>
      <c r="C53" s="25">
        <f t="shared" si="7"/>
        <v>186000</v>
      </c>
      <c r="D53" s="25">
        <f t="shared" si="8"/>
        <v>199243.20000000004</v>
      </c>
    </row>
    <row r="54" spans="1:4" x14ac:dyDescent="0.35">
      <c r="A54" s="94" t="s">
        <v>113</v>
      </c>
      <c r="B54" s="25">
        <f>SUM(B14:M14)</f>
        <v>0</v>
      </c>
      <c r="C54" s="25">
        <f t="shared" si="7"/>
        <v>834240</v>
      </c>
      <c r="D54" s="25">
        <f t="shared" si="8"/>
        <v>622752.83200000005</v>
      </c>
    </row>
    <row r="55" spans="1:4" x14ac:dyDescent="0.35">
      <c r="A55" s="95" t="s">
        <v>141</v>
      </c>
      <c r="B55" s="25">
        <f>SUM(B15:M15)</f>
        <v>0</v>
      </c>
      <c r="C55" s="25">
        <f t="shared" si="7"/>
        <v>1136564.8662</v>
      </c>
      <c r="D55" s="25">
        <f t="shared" si="8"/>
        <v>5936229.5572819198</v>
      </c>
    </row>
    <row r="56" spans="1:4" ht="39.5" x14ac:dyDescent="0.35">
      <c r="A56" s="97" t="s">
        <v>142</v>
      </c>
      <c r="B56" s="25">
        <f>B45-B48</f>
        <v>0</v>
      </c>
      <c r="C56" s="25">
        <f>C45-C48</f>
        <v>6440534.2418</v>
      </c>
      <c r="D56" s="25">
        <f>D45-D48</f>
        <v>33638634.157930873</v>
      </c>
    </row>
    <row r="57" spans="1:4" ht="39.5" x14ac:dyDescent="0.35">
      <c r="A57" s="100" t="s">
        <v>143</v>
      </c>
      <c r="B57" s="25"/>
      <c r="C57" s="25"/>
      <c r="D57" s="25"/>
    </row>
    <row r="58" spans="1:4" x14ac:dyDescent="0.35">
      <c r="A58" s="118" t="s">
        <v>137</v>
      </c>
      <c r="B58" s="25">
        <f>SUM(B18:M18)</f>
        <v>0</v>
      </c>
      <c r="C58" s="25">
        <f>SUM(N18:Y18)</f>
        <v>0</v>
      </c>
      <c r="D58" s="25">
        <f>SUM(Z18:AK18)</f>
        <v>0</v>
      </c>
    </row>
    <row r="59" spans="1:4" x14ac:dyDescent="0.35">
      <c r="A59" s="118" t="s">
        <v>140</v>
      </c>
      <c r="B59" s="25">
        <f>SUM(B19:M19)</f>
        <v>3000000.0000000005</v>
      </c>
      <c r="C59" s="25">
        <f t="shared" ref="C59:C66" si="9">SUM(N19:Y19)</f>
        <v>0</v>
      </c>
      <c r="D59" s="25">
        <f t="shared" ref="D59:D66" si="10">SUM(Z19:AK19)</f>
        <v>0</v>
      </c>
    </row>
    <row r="60" spans="1:4" x14ac:dyDescent="0.35">
      <c r="A60" s="118" t="s">
        <v>138</v>
      </c>
      <c r="B60" s="25"/>
      <c r="C60" s="25"/>
      <c r="D60" s="25"/>
    </row>
    <row r="61" spans="1:4" ht="29" x14ac:dyDescent="0.35">
      <c r="A61" s="94" t="s">
        <v>87</v>
      </c>
      <c r="B61" s="25">
        <f>SUM(B21:M21)</f>
        <v>57023.199999999997</v>
      </c>
      <c r="C61" s="25">
        <f t="shared" si="9"/>
        <v>0</v>
      </c>
      <c r="D61" s="25">
        <f t="shared" si="10"/>
        <v>0</v>
      </c>
    </row>
    <row r="62" spans="1:4" x14ac:dyDescent="0.35">
      <c r="A62" s="94" t="s">
        <v>88</v>
      </c>
      <c r="B62" s="25">
        <f>SUM(B22:M22)</f>
        <v>7000</v>
      </c>
      <c r="C62" s="25">
        <f t="shared" si="9"/>
        <v>0</v>
      </c>
      <c r="D62" s="25">
        <f t="shared" si="10"/>
        <v>0</v>
      </c>
    </row>
    <row r="63" spans="1:4" ht="29" x14ac:dyDescent="0.35">
      <c r="A63" s="94" t="s">
        <v>68</v>
      </c>
      <c r="B63" s="25">
        <f>SUM(B23:M23)</f>
        <v>2478976.7999999998</v>
      </c>
      <c r="C63" s="25">
        <f t="shared" si="9"/>
        <v>0</v>
      </c>
      <c r="D63" s="25">
        <f t="shared" si="10"/>
        <v>0</v>
      </c>
    </row>
    <row r="64" spans="1:4" ht="29" x14ac:dyDescent="0.35">
      <c r="A64" s="94" t="s">
        <v>98</v>
      </c>
      <c r="B64" s="25">
        <f>SUM(B24:M24)</f>
        <v>0</v>
      </c>
      <c r="C64" s="25">
        <f t="shared" si="9"/>
        <v>0</v>
      </c>
      <c r="D64" s="25">
        <f t="shared" si="10"/>
        <v>0</v>
      </c>
    </row>
    <row r="65" spans="1:4" x14ac:dyDescent="0.35">
      <c r="A65" s="94" t="s">
        <v>113</v>
      </c>
      <c r="B65" s="25">
        <f>SUM(B25:M25)</f>
        <v>200000</v>
      </c>
      <c r="C65" s="25">
        <f t="shared" si="9"/>
        <v>0</v>
      </c>
      <c r="D65" s="25">
        <f t="shared" si="10"/>
        <v>0</v>
      </c>
    </row>
    <row r="66" spans="1:4" x14ac:dyDescent="0.35">
      <c r="A66" s="2" t="s">
        <v>144</v>
      </c>
      <c r="B66" s="25">
        <f>SUM(B26:M26)</f>
        <v>257000</v>
      </c>
      <c r="C66" s="25">
        <f t="shared" si="9"/>
        <v>0</v>
      </c>
      <c r="D66" s="25">
        <f t="shared" si="10"/>
        <v>0</v>
      </c>
    </row>
    <row r="67" spans="1:4" ht="52.5" x14ac:dyDescent="0.35">
      <c r="A67" s="97" t="s">
        <v>145</v>
      </c>
      <c r="B67" s="25">
        <f>B58-B59</f>
        <v>-3000000.0000000005</v>
      </c>
      <c r="C67" s="25">
        <f t="shared" ref="C67:D67" si="11">C58-C59</f>
        <v>0</v>
      </c>
      <c r="D67" s="25">
        <f t="shared" si="11"/>
        <v>0</v>
      </c>
    </row>
    <row r="68" spans="1:4" ht="26.5" x14ac:dyDescent="0.35">
      <c r="A68" s="100" t="s">
        <v>146</v>
      </c>
      <c r="B68" s="25"/>
      <c r="C68" s="25"/>
      <c r="D68" s="25"/>
    </row>
    <row r="69" spans="1:4" x14ac:dyDescent="0.35">
      <c r="A69" s="118" t="s">
        <v>137</v>
      </c>
      <c r="B69" s="25">
        <f>SUM(B29:M29)</f>
        <v>3000000</v>
      </c>
      <c r="C69" s="25">
        <f>SUM(N29:Y29)</f>
        <v>0</v>
      </c>
      <c r="D69" s="25">
        <f>SUM(Z29:AK29)</f>
        <v>0</v>
      </c>
    </row>
    <row r="70" spans="1:4" x14ac:dyDescent="0.35">
      <c r="A70" s="118" t="s">
        <v>138</v>
      </c>
      <c r="B70" s="25"/>
      <c r="C70" s="25"/>
      <c r="D70" s="25"/>
    </row>
    <row r="71" spans="1:4" ht="26" x14ac:dyDescent="0.35">
      <c r="A71" s="118" t="s">
        <v>147</v>
      </c>
      <c r="B71" s="25">
        <f t="shared" ref="B70:B74" si="12">SUM(B31:M31)</f>
        <v>3000000</v>
      </c>
      <c r="C71" s="25">
        <f t="shared" ref="C70:C74" si="13">SUM(N31:Y31)</f>
        <v>0</v>
      </c>
      <c r="D71" s="25">
        <f t="shared" ref="D70:D74" si="14">SUM(Z31:AK31)</f>
        <v>0</v>
      </c>
    </row>
    <row r="72" spans="1:4" x14ac:dyDescent="0.35">
      <c r="A72" s="118" t="s">
        <v>140</v>
      </c>
      <c r="B72" s="25">
        <f t="shared" si="12"/>
        <v>0</v>
      </c>
      <c r="C72" s="25">
        <f t="shared" si="13"/>
        <v>0</v>
      </c>
      <c r="D72" s="25">
        <f t="shared" si="14"/>
        <v>0</v>
      </c>
    </row>
    <row r="73" spans="1:4" x14ac:dyDescent="0.35">
      <c r="A73" s="118" t="s">
        <v>138</v>
      </c>
      <c r="B73" s="25"/>
      <c r="C73" s="25"/>
      <c r="D73" s="25"/>
    </row>
    <row r="74" spans="1:4" x14ac:dyDescent="0.35">
      <c r="A74" s="118" t="s">
        <v>148</v>
      </c>
      <c r="B74" s="25">
        <f t="shared" si="12"/>
        <v>0</v>
      </c>
      <c r="C74" s="25">
        <f t="shared" si="13"/>
        <v>0</v>
      </c>
      <c r="D74" s="25">
        <f t="shared" si="14"/>
        <v>0</v>
      </c>
    </row>
    <row r="75" spans="1:4" ht="39.5" x14ac:dyDescent="0.35">
      <c r="A75" s="97" t="s">
        <v>149</v>
      </c>
      <c r="B75" s="25">
        <f>B69-B72</f>
        <v>3000000</v>
      </c>
      <c r="C75" s="25">
        <f t="shared" ref="C75:D75" si="15">C69-C72</f>
        <v>0</v>
      </c>
      <c r="D75" s="25">
        <f t="shared" si="15"/>
        <v>0</v>
      </c>
    </row>
    <row r="76" spans="1:4" ht="26" x14ac:dyDescent="0.35">
      <c r="A76" s="98" t="s">
        <v>150</v>
      </c>
      <c r="B76" s="25">
        <f>B56+B67+B75</f>
        <v>0</v>
      </c>
      <c r="C76" s="25">
        <f t="shared" ref="C76:D76" si="16">C56+C67+C75</f>
        <v>6440534.2418</v>
      </c>
      <c r="D76" s="25">
        <f t="shared" si="16"/>
        <v>33638634.157930873</v>
      </c>
    </row>
    <row r="77" spans="1:4" ht="60" customHeight="1" x14ac:dyDescent="0.35">
      <c r="A77" s="98" t="s">
        <v>151</v>
      </c>
      <c r="B77" s="25">
        <v>0</v>
      </c>
      <c r="C77" s="25">
        <f>B78</f>
        <v>0</v>
      </c>
      <c r="D77" s="25">
        <f>C78</f>
        <v>6440534.2418</v>
      </c>
    </row>
    <row r="78" spans="1:4" ht="51" x14ac:dyDescent="0.35">
      <c r="A78" s="98" t="s">
        <v>152</v>
      </c>
      <c r="B78" s="25">
        <f>B76+B77</f>
        <v>0</v>
      </c>
      <c r="C78" s="25">
        <f>C76+C77</f>
        <v>6440534.2418</v>
      </c>
      <c r="D78" s="25">
        <f>D76+D77</f>
        <v>40079168.399730876</v>
      </c>
    </row>
  </sheetData>
  <mergeCells count="4">
    <mergeCell ref="A1:A3"/>
    <mergeCell ref="B1:M1"/>
    <mergeCell ref="N1:Y1"/>
    <mergeCell ref="Z1:A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Ключевые метрики</vt:lpstr>
      <vt:lpstr>Прогноз по персоналу в людях</vt:lpstr>
      <vt:lpstr>Расходы на персонал</vt:lpstr>
      <vt:lpstr>Прогноз расходов</vt:lpstr>
      <vt:lpstr>Маркетинг и реклама</vt:lpstr>
      <vt:lpstr>План продаж</vt:lpstr>
      <vt:lpstr>Бюджет доходов и расходов (БДР)</vt:lpstr>
      <vt:lpstr>Движение денежных средств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 Полина</dc:creator>
  <cp:lastModifiedBy>Мельникова Полина</cp:lastModifiedBy>
  <dcterms:created xsi:type="dcterms:W3CDTF">2015-06-05T18:19:34Z</dcterms:created>
  <dcterms:modified xsi:type="dcterms:W3CDTF">2023-09-17T08:43:41Z</dcterms:modified>
</cp:coreProperties>
</file>