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0469B69C-E6FC-4F90-A505-C380E62ED497}" xr6:coauthVersionLast="45" xr6:coauthVersionMax="45" xr10:uidLastSave="{00000000-0000-0000-0000-000000000000}"/>
  <bookViews>
    <workbookView xWindow="-108" yWindow="-108" windowWidth="23256" windowHeight="12456" tabRatio="1000" firstSheet="1" activeTab="2" xr2:uid="{00000000-000D-0000-FFFF-FFFF00000000}"/>
  </bookViews>
  <sheets>
    <sheet name="Данные" sheetId="1" r:id="rId1"/>
    <sheet name="Затраты начальные" sheetId="2" r:id="rId2"/>
    <sheet name="Планы на будущее" sheetId="7" r:id="rId3"/>
    <sheet name="Затраты общие" sheetId="4" r:id="rId4"/>
    <sheet name="Прошлые периоды" sheetId="3" r:id="rId5"/>
    <sheet name="Баланс прошлых периодов" sheetId="5" r:id="rId6"/>
    <sheet name="Прогнозный баланс" sheetId="6" r:id="rId7"/>
    <sheet name="План ДДС" sheetId="10" r:id="rId8"/>
    <sheet name="Факт ДДС" sheetId="16" r:id="rId9"/>
    <sheet name="Сравнительные показатели" sheetId="18"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G4" i="7" l="1"/>
  <c r="F4" i="7"/>
  <c r="E4" i="7"/>
  <c r="D4" i="7"/>
  <c r="B26" i="1"/>
  <c r="C14" i="10" l="1"/>
  <c r="D14" i="10"/>
  <c r="E14" i="10"/>
  <c r="F14" i="10"/>
  <c r="G14" i="10"/>
  <c r="B14" i="10"/>
  <c r="H6" i="10"/>
  <c r="B8" i="6"/>
  <c r="B5" i="6"/>
  <c r="B4" i="6"/>
  <c r="C4" i="7"/>
  <c r="C4" i="4"/>
  <c r="D4" i="4"/>
  <c r="E4" i="4"/>
  <c r="E8" i="4" s="1"/>
  <c r="E5" i="7" s="1"/>
  <c r="E6" i="7" s="1"/>
  <c r="F4" i="4"/>
  <c r="D7" i="4"/>
  <c r="E7" i="4"/>
  <c r="F7" i="4"/>
  <c r="G7" i="4"/>
  <c r="C7" i="4"/>
  <c r="D6" i="4"/>
  <c r="E6" i="4"/>
  <c r="F6" i="4"/>
  <c r="G6" i="4"/>
  <c r="C6" i="4"/>
  <c r="D5" i="4"/>
  <c r="E5" i="4"/>
  <c r="C5" i="4"/>
  <c r="A7" i="4"/>
  <c r="A6" i="4"/>
  <c r="A5" i="4"/>
  <c r="A4" i="4"/>
  <c r="B10" i="2"/>
  <c r="B7" i="2"/>
  <c r="A7" i="2"/>
  <c r="B6" i="2"/>
  <c r="B5" i="2"/>
  <c r="A6" i="2"/>
  <c r="A5" i="2"/>
  <c r="B14" i="1"/>
  <c r="B30" i="1" s="1"/>
  <c r="B31" i="1" s="1"/>
  <c r="D8" i="6" s="1"/>
  <c r="D9" i="6" s="1"/>
  <c r="F5" i="4"/>
  <c r="G4" i="4"/>
  <c r="B6" i="6" l="1"/>
  <c r="G8" i="4"/>
  <c r="G5" i="7" s="1"/>
  <c r="F8" i="4"/>
  <c r="F5" i="7" s="1"/>
  <c r="E10" i="10"/>
  <c r="B10" i="6"/>
  <c r="D8" i="4"/>
  <c r="D5" i="7" s="1"/>
  <c r="G5" i="4"/>
  <c r="C8" i="4"/>
  <c r="C5" i="7" s="1"/>
  <c r="B8" i="2"/>
  <c r="B4" i="10"/>
  <c r="C4" i="2"/>
  <c r="D4" i="2"/>
  <c r="E4" i="2"/>
  <c r="F4" i="2"/>
  <c r="G4" i="2"/>
  <c r="D9" i="2"/>
  <c r="E9" i="2"/>
  <c r="F9" i="2"/>
  <c r="G9" i="2"/>
  <c r="H10" i="2"/>
  <c r="B9" i="10" s="1"/>
  <c r="H9" i="10" s="1"/>
  <c r="H8" i="2"/>
  <c r="H7" i="2"/>
  <c r="H5" i="2"/>
  <c r="G10" i="10" l="1"/>
  <c r="C10" i="10"/>
  <c r="D10" i="10"/>
  <c r="F11" i="2"/>
  <c r="F10" i="10"/>
  <c r="G11" i="2"/>
  <c r="D11" i="2"/>
  <c r="E11" i="2"/>
  <c r="H5" i="4"/>
  <c r="B9" i="2"/>
  <c r="H6" i="2"/>
  <c r="C9" i="2"/>
  <c r="C11" i="2" s="1"/>
  <c r="H4" i="7"/>
  <c r="H6" i="4"/>
  <c r="H4" i="4"/>
  <c r="E5" i="10"/>
  <c r="E4" i="10" s="1"/>
  <c r="F5" i="10"/>
  <c r="F4" i="10" s="1"/>
  <c r="H8" i="4"/>
  <c r="D5" i="10"/>
  <c r="D4" i="10" s="1"/>
  <c r="C5" i="10"/>
  <c r="G5" i="10"/>
  <c r="H10" i="10" l="1"/>
  <c r="C4" i="10"/>
  <c r="H5" i="10"/>
  <c r="H7" i="4"/>
  <c r="H9" i="2"/>
  <c r="B4" i="2"/>
  <c r="F6" i="7"/>
  <c r="F7" i="7" s="1"/>
  <c r="F11" i="10" s="1"/>
  <c r="B11" i="2" l="1"/>
  <c r="H4" i="2"/>
  <c r="B8" i="10" s="1"/>
  <c r="H8" i="10" s="1"/>
  <c r="D6" i="7"/>
  <c r="D7" i="7" s="1"/>
  <c r="D11" i="10" s="1"/>
  <c r="E7" i="7"/>
  <c r="E11" i="10" s="1"/>
  <c r="G6" i="7"/>
  <c r="G7" i="7" s="1"/>
  <c r="G11" i="10" s="1"/>
  <c r="H5" i="7" l="1"/>
  <c r="C6" i="7"/>
  <c r="B5" i="18" s="1"/>
  <c r="H11" i="2"/>
  <c r="B7" i="10"/>
  <c r="B12" i="10" l="1"/>
  <c r="B13" i="10" s="1"/>
  <c r="H6" i="7"/>
  <c r="C7" i="7"/>
  <c r="D7" i="10"/>
  <c r="D12" i="10" s="1"/>
  <c r="C8" i="7" l="1"/>
  <c r="C11" i="10"/>
  <c r="H11" i="10" s="1"/>
  <c r="D11" i="6"/>
  <c r="D13" i="6" s="1"/>
  <c r="H7" i="7"/>
  <c r="D8" i="7"/>
  <c r="C9" i="7" l="1"/>
  <c r="D9" i="7" s="1"/>
  <c r="D5" i="6"/>
  <c r="D6" i="6" s="1"/>
  <c r="D14" i="6" s="1"/>
  <c r="B13" i="6" s="1"/>
  <c r="B12" i="6" s="1"/>
  <c r="B9" i="6" s="1"/>
  <c r="E8" i="7"/>
  <c r="C7" i="10"/>
  <c r="E9" i="7" l="1"/>
  <c r="G4" i="10"/>
  <c r="H4" i="10" s="1"/>
  <c r="C12" i="10"/>
  <c r="B3" i="18" l="1"/>
  <c r="G7" i="10"/>
  <c r="G12" i="10" s="1"/>
  <c r="G8" i="7"/>
  <c r="C13" i="10"/>
  <c r="D13" i="10"/>
  <c r="E7" i="10"/>
  <c r="G15" i="10" l="1"/>
  <c r="E12" i="10"/>
  <c r="F8" i="7"/>
  <c r="F9" i="7" s="1"/>
  <c r="G9" i="7" s="1"/>
  <c r="H8" i="7" l="1"/>
  <c r="C15" i="10"/>
  <c r="B4" i="18" s="1"/>
  <c r="D15" i="10"/>
  <c r="B15" i="10"/>
  <c r="E15" i="10"/>
  <c r="E13" i="10"/>
  <c r="D16" i="10" l="1"/>
  <c r="B16" i="10"/>
  <c r="C16" i="10"/>
  <c r="F7" i="10"/>
  <c r="H7" i="10" s="1"/>
  <c r="E16" i="10"/>
  <c r="F12" i="10" l="1"/>
  <c r="H12" i="10" l="1"/>
  <c r="B7" i="18"/>
  <c r="F15" i="10"/>
  <c r="G13" i="10"/>
  <c r="F13" i="10"/>
  <c r="G16" i="10" l="1"/>
  <c r="F16" i="10"/>
  <c r="H15" i="10"/>
  <c r="B6" i="18" l="1"/>
  <c r="B2" i="18"/>
</calcChain>
</file>

<file path=xl/sharedStrings.xml><?xml version="1.0" encoding="utf-8"?>
<sst xmlns="http://schemas.openxmlformats.org/spreadsheetml/2006/main" count="169" uniqueCount="121">
  <si>
    <t>Показатели</t>
  </si>
  <si>
    <t>Оборотный капитал</t>
  </si>
  <si>
    <t>Категория инвестиций</t>
  </si>
  <si>
    <t>Годы расчетного периода</t>
  </si>
  <si>
    <t>ИТОГО</t>
  </si>
  <si>
    <t>1. Первоначальные инвестиции</t>
  </si>
  <si>
    <t>2. Замещение основных фондов</t>
  </si>
  <si>
    <t>3. Общие инвестиции</t>
  </si>
  <si>
    <t>Издержки</t>
  </si>
  <si>
    <t>Показатель</t>
  </si>
  <si>
    <t>1. Приток наличности:</t>
  </si>
  <si>
    <t>2. Отток наличности:</t>
  </si>
  <si>
    <t>3. Чистый денежный поток (CF)</t>
  </si>
  <si>
    <t>4. Текущая стоимость (PV)</t>
  </si>
  <si>
    <t xml:space="preserve">5. Текущая стоимость нарастающим итогом (NPV) </t>
  </si>
  <si>
    <t>1.1. доход от продаж</t>
  </si>
  <si>
    <t>1.2. ликвидационная стоимость</t>
  </si>
  <si>
    <t>2.1. инвестиции в основной капитал</t>
  </si>
  <si>
    <t>2.2. инвестиции в оборотный капитал</t>
  </si>
  <si>
    <t>2.3. функционально-административные издержки</t>
  </si>
  <si>
    <t>2.4. налоги</t>
  </si>
  <si>
    <t>3.1. кумулятивный CF</t>
  </si>
  <si>
    <t xml:space="preserve">3.2. коэффициент дисконтирования при ставке сравнения </t>
  </si>
  <si>
    <t>Сумма</t>
  </si>
  <si>
    <t>Значение показателя</t>
  </si>
  <si>
    <t>IRR, %</t>
  </si>
  <si>
    <t>Данные для расчетов</t>
  </si>
  <si>
    <t>Процент займа, руб.</t>
  </si>
  <si>
    <t>Налоговые ставки по УСН (доход - расход)</t>
  </si>
  <si>
    <t>Ставка дисконтирования</t>
  </si>
  <si>
    <t>Инвестиции, руб.</t>
  </si>
  <si>
    <t xml:space="preserve">Цена услуги, продукции, приложения и тд, руб. </t>
  </si>
  <si>
    <t>Примечания</t>
  </si>
  <si>
    <t>Сколько вам денег получите вы от покупателя за одну услугу, приложение и тд</t>
  </si>
  <si>
    <t>Какое количество услуг вы хотите реализовать в год. Считается как: количество в месяц умножается на 12</t>
  </si>
  <si>
    <t>Компьютеры, столы, всякая другая оргтехника, все, что нужно вам для работы</t>
  </si>
  <si>
    <t>Основные средства</t>
  </si>
  <si>
    <t>Нематериальные активы</t>
  </si>
  <si>
    <t>Программы лицензионные, патенты, торговые знаки, графические программы, программы по безопасности приложения и тд</t>
  </si>
  <si>
    <t>Количество сотрудников, что будут разрабатывать приложение</t>
  </si>
  <si>
    <t>Средняя стоимость одного часа сотрудника</t>
  </si>
  <si>
    <t>Количество часов, что потребуется на разработку приложения</t>
  </si>
  <si>
    <t>Сюда вы пишите всех, кто будет разрабатыть проект: дизайнер, аналитик и тп и тд. На первых этапах целесообразно не более 3 сотрудников, т.к. большие затраты получатся. Один и тот же сотрудник может совмещать несколько функций, но тоже в оптимальном режиме.</t>
  </si>
  <si>
    <t>Средняя ставка по региону. Нужно посмотреть на сайтах, где предлагают работу: hh.ru, авито и тд</t>
  </si>
  <si>
    <t>Текущие затраты, руб.</t>
  </si>
  <si>
    <t>Заработная плата сотрудника</t>
  </si>
  <si>
    <t>в среднем за месяц умножается на 12</t>
  </si>
  <si>
    <t>количество сотрудников</t>
  </si>
  <si>
    <t>сколько человек у вас будет работать</t>
  </si>
  <si>
    <t>аренда</t>
  </si>
  <si>
    <t>данного показателя может и не быть, может вы из дома будете это все делать и на этом экономить. Или гараж)))</t>
  </si>
  <si>
    <t>то, что выделено желтым цветом, не менять!!!! Это у всех все одинаково</t>
  </si>
  <si>
    <t>реклама, продвижение</t>
  </si>
  <si>
    <t xml:space="preserve">все показатели годовые!!! </t>
  </si>
  <si>
    <t>Прочие затраты</t>
  </si>
  <si>
    <t>здесь оплата интернета, транспортные расходы, хостинг, интернет-банкинг, необходимые консультации специалистов и тп и тд</t>
  </si>
  <si>
    <t>Ручки, бумага, интернет, коммунальные платежи, реклама, покупка банера, организация бизнеса и тд и тп. То есть все иные расходы до того момента пока вы не доделали свое приложение и не начали его продавать!!!!!! Потом эти затраты перейдут в текущие!!!!!!!</t>
  </si>
  <si>
    <t>Предварительные исследования</t>
  </si>
  <si>
    <t>Этот пункт появляется, если вы у других организаций заказываете исследования, которые сами или не можете сделать или у вас на это нет времени, но без этих исследований вы не можете создать свое приложение с нужными функциями. Кто-то кстати покупает готовый бизнес-план для этого, т.к. бизнес-планы требуются для госконтрактов, выделения денежных средств по гос. поддержки и тп и тд</t>
  </si>
  <si>
    <t>Источники финансирования</t>
  </si>
  <si>
    <t>собственные средства</t>
  </si>
  <si>
    <t>кредитные средства</t>
  </si>
  <si>
    <t>гос поддержка</t>
  </si>
  <si>
    <t>грант</t>
  </si>
  <si>
    <t>берется средняя ставка по кредитам по региону. Можно посмотреть на сайте https://www.sravni.ru/?utm_source=yandex&amp;utm_medium=cpc&amp;utm_term=%D1%81%D1%80%D0%B0%D0%B2%D0%BD%D0%B8%20%D1%80%D1%83&amp;position_type=premium&amp;utm_campaign=sravni_global_search_rf_brand_38656715&amp;utm_placement=none_{device}&amp;utm_content=k50id--0100000034642701864_34642701864--cid--38656715--gid--3561736601--aid--12834785061--adp--no--pos--premium1--src--search_none--dvc--desktop--%D0%9B%D0%B8%D0%BF%D0%B5%D1%86%D0%BA_9_12834785061&amp;etext=&amp;_openstat=ZGlyZWN0LnlhbmRleC5ydTszODY1NjcxNTsxMjgzNDc4NTA2MTt5YW5kZXgucnU6cHJlbWl1bQ&amp;yclid=3539065091288537698</t>
  </si>
  <si>
    <t>Можно не только брать кредит, но и воспользоваться господдержкой и грантами</t>
  </si>
  <si>
    <t>Это уже на ваше усмотрение</t>
  </si>
  <si>
    <t>Общий объем инвестиций</t>
  </si>
  <si>
    <t>Необходимые ресурсы</t>
  </si>
  <si>
    <t>Источники финансирования требуются в том случае, если объем инвестиций больше объема собственных средств. Но по практическому опыту, т.к. на стадии планирования нельзя до конца все затраты предугадать, нужно объем инвестиций не менее чем на 1,5. Т.е. если вы считаете, что для открытия своего дела вам нужно 100 тыс. руб., то реально на руках у вас должно быть не менее 150 тыс. руб. И это минимум. Многие эксперты говорят, что сумма ресурсов должна быть в 2,5 раза больше (в основном из-за взяток. Но в данной работе мы не будем касаться теневой экономики)</t>
  </si>
  <si>
    <t>Считается исходя из вашего графика, сколько дней требуется на разработку, тестирование приложения и тд. до того момента, пока вы его не начали продавать и потом это число умножается на 8 (это восьмичасой день по законодательству). В примере считается, что приложение сделается за месяц, т.е. за 30 дней</t>
  </si>
  <si>
    <t>РАСЧЕТЫ ИНВЕСТИЦИОННОГО КАПИТАЛА (ПЕРВОНАЧАЛЬНЫХ ЗАТРАТ)</t>
  </si>
  <si>
    <t>Затраты на разработку и тестирование приложения</t>
  </si>
  <si>
    <t>ПЛАН НА БУДУЩИЕ ПЕРИОДЫ. ДОХОДЫ И РАСХОДЫ</t>
  </si>
  <si>
    <t>Доход от продаж</t>
  </si>
  <si>
    <t>Общие издержки на производство и реализацию продукции</t>
  </si>
  <si>
    <t>Прибыль к налогообложению</t>
  </si>
  <si>
    <t>Налог на прибыль</t>
  </si>
  <si>
    <t>Чистая прибыль</t>
  </si>
  <si>
    <t>Чистая прибыль нарастающим итогом</t>
  </si>
  <si>
    <t>Итого затрат</t>
  </si>
  <si>
    <t>ФАКТ ПРОШЛЫХ ЛЕТ ДОХОДОВ И РАСХОДОВ</t>
  </si>
  <si>
    <t>На этом листе все показатели нулевые, поскольку вы еще не работали, у вас стартап</t>
  </si>
  <si>
    <t>ФАКТИЧЕСКИЙ БАЛАНС НА ПРЕДЫДУЩУЮ ОТЧЕТНУЮ ДАТУ</t>
  </si>
  <si>
    <t>Актив</t>
  </si>
  <si>
    <t>Пассив</t>
  </si>
  <si>
    <t>Внеоборотные активы</t>
  </si>
  <si>
    <t>Основные средств</t>
  </si>
  <si>
    <t>Итого по разделу 1</t>
  </si>
  <si>
    <t>Оборотные активы</t>
  </si>
  <si>
    <t>Запасы</t>
  </si>
  <si>
    <t>Дебиторская задолженность</t>
  </si>
  <si>
    <t>Денежные средства на расчетном счете</t>
  </si>
  <si>
    <t>Прочие оборотные активы</t>
  </si>
  <si>
    <t>Итого по балансу</t>
  </si>
  <si>
    <t>Капитал и резервы</t>
  </si>
  <si>
    <t>Уставный капитал</t>
  </si>
  <si>
    <t>Нераспределенная прибыль</t>
  </si>
  <si>
    <t>Долгосрочные обязательства</t>
  </si>
  <si>
    <t>Долгосрочные займы и кредиты</t>
  </si>
  <si>
    <t>Краткосрочные обязательства</t>
  </si>
  <si>
    <t>Краткосрочные займы и кредиты</t>
  </si>
  <si>
    <t>Кредиторская задолженность</t>
  </si>
  <si>
    <t>Итого по разделу 3</t>
  </si>
  <si>
    <t>Итого по разделу 2</t>
  </si>
  <si>
    <t>Итого по разделу 4</t>
  </si>
  <si>
    <t>Итого по разделу 5</t>
  </si>
  <si>
    <t>ПРОГНОЗНЫЙ БАЛАНС</t>
  </si>
  <si>
    <t>Если мы говорим про баланс, это уже подразумевается, что организационно-правовая форма организации не менее ООО</t>
  </si>
  <si>
    <t>Актив обязательно должен быть равен пассиву!!!!!!</t>
  </si>
  <si>
    <t>Кредиторская задолженность - это сколько вы должны заплатить сотрудникам зарплату, по налогам, поставщиками за материалы и тд</t>
  </si>
  <si>
    <t>ПЛАН ДДС будущих периодов</t>
  </si>
  <si>
    <t>ФАКТ ДДС ЗА ПРОШЛЫЕ ГОДЫ</t>
  </si>
  <si>
    <t>NPV, руб.</t>
  </si>
  <si>
    <t>IP, доли</t>
  </si>
  <si>
    <t>DPP, годы</t>
  </si>
  <si>
    <t>Рентабельность продаж</t>
  </si>
  <si>
    <t>PP, месяцев</t>
  </si>
  <si>
    <t>Затраты начальные</t>
  </si>
  <si>
    <t>РАСЧЕТЫ ЗАТРАТЫ</t>
  </si>
  <si>
    <t>Прогнозный объем услуг (количество клиентов 1200, обращений в год 10), штук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</si>
</sst>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charset val="204"/>
      <scheme val="minor"/>
    </font>
    <font>
      <sz val="11"/>
      <color theme="1"/>
      <name val="Times New Roman"/>
      <family val="1"/>
      <charset val="204"/>
    </font>
    <font>
      <sz val="9"/>
      <color theme="1"/>
      <name val="Times New Roman"/>
      <family val="1"/>
      <charset val="204"/>
    </font>
    <font>
      <sz val="11"/>
      <color rgb="FF000000"/>
      <name val="Times New Roman"/>
      <family val="1"/>
      <charset val="204"/>
    </font>
    <font>
      <b/>
      <i/>
      <sz val="11"/>
      <color rgb="FF000000"/>
      <name val="Times New Roman"/>
      <family val="1"/>
      <charset val="204"/>
    </font>
    <font>
      <sz val="11"/>
      <color theme="1"/>
      <name val="Calibri"/>
      <family val="2"/>
      <charset val="204"/>
      <scheme val="minor"/>
    </font>
    <font>
      <sz val="11"/>
      <color rgb="FFFF0000"/>
      <name val="Times New Roman"/>
      <family val="1"/>
      <charset val="204"/>
    </font>
    <font>
      <sz val="11"/>
      <color rgb="FFFF0000"/>
      <name val="Calibri"/>
      <family val="2"/>
      <charset val="204"/>
      <scheme val="minor"/>
    </font>
    <font>
      <b/>
      <sz val="11"/>
      <color theme="1"/>
      <name val="Calibri"/>
      <family val="2"/>
      <charset val="204"/>
      <scheme val="minor"/>
    </font>
    <font>
      <b/>
      <sz val="11"/>
      <color theme="1"/>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vertical="center" wrapText="1"/>
    </xf>
    <xf numFmtId="2" fontId="3" fillId="0" borderId="0" xfId="0" applyNumberFormat="1" applyFont="1" applyAlignment="1">
      <alignment horizontal="center" wrapText="1"/>
    </xf>
    <xf numFmtId="0" fontId="0" fillId="0" borderId="0" xfId="0" applyAlignment="1">
      <alignment wrapText="1"/>
    </xf>
    <xf numFmtId="2" fontId="3" fillId="0" borderId="0" xfId="0" applyNumberFormat="1" applyFont="1" applyAlignment="1">
      <alignment horizontal="center" vertical="center" wrapText="1"/>
    </xf>
    <xf numFmtId="0" fontId="0" fillId="0" borderId="0" xfId="0" applyAlignment="1">
      <alignment vertical="center" wrapText="1"/>
    </xf>
    <xf numFmtId="1" fontId="3" fillId="0" borderId="0" xfId="0" applyNumberFormat="1"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1" fontId="1" fillId="0" borderId="0" xfId="0" applyNumberFormat="1" applyFont="1" applyAlignment="1">
      <alignment horizontal="center" vertical="center"/>
    </xf>
    <xf numFmtId="9" fontId="2" fillId="0" borderId="0" xfId="1" applyFont="1" applyAlignment="1">
      <alignment horizontal="right" vertical="center"/>
    </xf>
    <xf numFmtId="2" fontId="0" fillId="0" borderId="0" xfId="0" applyNumberFormat="1"/>
    <xf numFmtId="0" fontId="1" fillId="3" borderId="0" xfId="0" applyFont="1" applyFill="1" applyAlignment="1">
      <alignment vertical="center" wrapText="1"/>
    </xf>
    <xf numFmtId="2" fontId="3" fillId="3" borderId="0" xfId="0" applyNumberFormat="1" applyFont="1" applyFill="1" applyAlignment="1">
      <alignment horizontal="center" vertical="center" wrapText="1"/>
    </xf>
    <xf numFmtId="9" fontId="0" fillId="0" borderId="0" xfId="0" applyNumberFormat="1"/>
    <xf numFmtId="9" fontId="1" fillId="0" borderId="0" xfId="1" applyFont="1" applyAlignment="1">
      <alignment horizontal="center" vertical="center"/>
    </xf>
    <xf numFmtId="0" fontId="1" fillId="0" borderId="1" xfId="0" applyFont="1" applyBorder="1" applyAlignment="1">
      <alignment horizontal="center" vertical="center" wrapText="1"/>
    </xf>
    <xf numFmtId="1" fontId="0" fillId="0" borderId="0" xfId="0" applyNumberFormat="1"/>
    <xf numFmtId="0" fontId="8" fillId="0" borderId="0" xfId="0" applyFont="1" applyAlignment="1">
      <alignment horizontal="center"/>
    </xf>
    <xf numFmtId="9" fontId="2" fillId="3" borderId="0" xfId="1" applyFont="1" applyFill="1" applyAlignment="1">
      <alignment horizontal="center" vertical="center" wrapText="1"/>
    </xf>
    <xf numFmtId="0" fontId="7" fillId="0" borderId="0" xfId="0" applyFont="1"/>
    <xf numFmtId="0" fontId="2" fillId="0" borderId="0" xfId="0" applyFont="1" applyAlignment="1">
      <alignment vertical="center"/>
    </xf>
    <xf numFmtId="1" fontId="2" fillId="0" borderId="0" xfId="1" applyNumberFormat="1" applyFont="1" applyAlignment="1">
      <alignment horizontal="right" vertical="center"/>
    </xf>
    <xf numFmtId="1" fontId="2" fillId="0" borderId="0" xfId="0" applyNumberFormat="1" applyFont="1" applyAlignment="1">
      <alignment vertical="center"/>
    </xf>
    <xf numFmtId="9" fontId="2" fillId="0" borderId="0" xfId="1" applyFont="1" applyFill="1" applyAlignment="1">
      <alignment horizontal="center" vertical="center" wrapText="1"/>
    </xf>
    <xf numFmtId="0" fontId="8" fillId="0" borderId="0" xfId="0" applyFont="1"/>
    <xf numFmtId="0" fontId="1" fillId="4" borderId="0" xfId="0" applyFont="1" applyFill="1" applyAlignment="1">
      <alignment horizontal="left" vertical="center" wrapText="1"/>
    </xf>
    <xf numFmtId="0" fontId="3" fillId="4" borderId="0" xfId="0" applyFont="1" applyFill="1" applyAlignment="1">
      <alignment horizontal="center" vertical="center" wrapText="1"/>
    </xf>
    <xf numFmtId="0" fontId="0" fillId="4" borderId="0" xfId="0" applyFill="1"/>
    <xf numFmtId="1" fontId="3" fillId="0" borderId="0" xfId="0" applyNumberFormat="1" applyFont="1" applyAlignment="1">
      <alignment horizontal="center" wrapText="1"/>
    </xf>
    <xf numFmtId="1" fontId="6" fillId="0" borderId="0" xfId="0" applyNumberFormat="1" applyFont="1" applyAlignment="1">
      <alignment horizontal="center" vertical="center" wrapText="1"/>
    </xf>
    <xf numFmtId="0" fontId="3" fillId="0" borderId="1" xfId="0" applyFont="1" applyBorder="1" applyAlignment="1">
      <alignment horizontal="center" wrapText="1"/>
    </xf>
    <xf numFmtId="2" fontId="3" fillId="0" borderId="1" xfId="0" applyNumberFormat="1" applyFont="1" applyBorder="1" applyAlignment="1">
      <alignment horizontal="center" wrapText="1"/>
    </xf>
    <xf numFmtId="10" fontId="3" fillId="0" borderId="0" xfId="1" applyNumberFormat="1" applyFont="1" applyBorder="1" applyAlignment="1">
      <alignment vertical="center" wrapText="1"/>
    </xf>
    <xf numFmtId="49" fontId="3" fillId="0" borderId="0" xfId="1" applyNumberFormat="1" applyFont="1" applyBorder="1" applyAlignment="1">
      <alignment vertical="center" wrapText="1"/>
    </xf>
    <xf numFmtId="0" fontId="1" fillId="0" borderId="1" xfId="0" applyFont="1" applyBorder="1"/>
    <xf numFmtId="1" fontId="3" fillId="0" borderId="1" xfId="0" applyNumberFormat="1" applyFont="1" applyBorder="1" applyAlignment="1">
      <alignment horizontal="center" wrapText="1"/>
    </xf>
    <xf numFmtId="1" fontId="10" fillId="0" borderId="1" xfId="0" applyNumberFormat="1" applyFont="1" applyBorder="1" applyAlignment="1">
      <alignment horizontal="center" wrapText="1"/>
    </xf>
    <xf numFmtId="1" fontId="3" fillId="3" borderId="0" xfId="0" applyNumberFormat="1" applyFont="1" applyFill="1" applyAlignment="1">
      <alignment horizontal="center" vertical="center" wrapText="1"/>
    </xf>
    <xf numFmtId="1" fontId="3" fillId="2" borderId="0" xfId="0" applyNumberFormat="1" applyFont="1" applyFill="1" applyAlignment="1">
      <alignment horizontal="center" vertical="center" wrapText="1"/>
    </xf>
    <xf numFmtId="1" fontId="6" fillId="3" borderId="0" xfId="0" applyNumberFormat="1" applyFont="1" applyFill="1" applyAlignment="1">
      <alignment horizontal="center" vertical="center" wrapText="1"/>
    </xf>
    <xf numFmtId="1" fontId="4" fillId="3" borderId="0" xfId="0" applyNumberFormat="1" applyFont="1" applyFill="1" applyAlignment="1">
      <alignment horizontal="center" vertical="center" wrapText="1"/>
    </xf>
    <xf numFmtId="9" fontId="1" fillId="0" borderId="0" xfId="1" applyFont="1" applyBorder="1" applyAlignment="1">
      <alignment vertical="center" wrapText="1"/>
    </xf>
    <xf numFmtId="3" fontId="3" fillId="0" borderId="0" xfId="0" applyNumberFormat="1"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xf>
    <xf numFmtId="1" fontId="6" fillId="0" borderId="0" xfId="0" applyNumberFormat="1" applyFont="1" applyAlignment="1">
      <alignment horizontal="center" vertical="center" wrapText="1"/>
    </xf>
    <xf numFmtId="0" fontId="9" fillId="0" borderId="0" xfId="0" applyFont="1" applyAlignment="1">
      <alignment horizontal="center" vertical="center" wrapText="1"/>
    </xf>
    <xf numFmtId="10" fontId="6" fillId="0" borderId="0" xfId="1" applyNumberFormat="1" applyFont="1" applyBorder="1" applyAlignment="1">
      <alignment horizontal="center" vertical="center" wrapText="1"/>
    </xf>
    <xf numFmtId="0" fontId="1" fillId="0" borderId="1" xfId="0" applyFont="1" applyBorder="1" applyAlignment="1">
      <alignment horizontal="center" vertical="center" wrapText="1"/>
    </xf>
    <xf numFmtId="2" fontId="3" fillId="0" borderId="1" xfId="0" applyNumberFormat="1" applyFont="1" applyBorder="1" applyAlignment="1">
      <alignment horizontal="center" wrapText="1"/>
    </xf>
    <xf numFmtId="1" fontId="3" fillId="0" borderId="1" xfId="0" applyNumberFormat="1" applyFont="1" applyBorder="1" applyAlignment="1">
      <alignment horizontal="center" wrapText="1"/>
    </xf>
    <xf numFmtId="0" fontId="11" fillId="0" borderId="0" xfId="0" applyFont="1" applyAlignment="1">
      <alignment horizontal="center" vertical="center" wrapText="1"/>
    </xf>
    <xf numFmtId="43" fontId="1" fillId="0" borderId="0" xfId="2" applyFont="1" applyAlignment="1">
      <alignment horizontal="center" vertical="center"/>
    </xf>
    <xf numFmtId="43" fontId="2" fillId="0" borderId="0" xfId="2" applyFont="1" applyAlignment="1">
      <alignment horizontal="right" vertical="center"/>
    </xf>
  </cellXfs>
  <cellStyles count="3">
    <cellStyle name="Обычный" xfId="0" builtinId="0"/>
    <cellStyle name="Процентный" xfId="1" builtinId="5"/>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'План ДДС'!$B$3:$G$3</c:f>
              <c:numCache>
                <c:formatCode>General</c:formatCode>
                <c:ptCount val="6"/>
                <c:pt idx="0">
                  <c:v>0</c:v>
                </c:pt>
                <c:pt idx="1">
                  <c:v>1</c:v>
                </c:pt>
                <c:pt idx="2">
                  <c:v>2</c:v>
                </c:pt>
                <c:pt idx="3">
                  <c:v>3</c:v>
                </c:pt>
                <c:pt idx="4">
                  <c:v>4</c:v>
                </c:pt>
                <c:pt idx="5">
                  <c:v>5</c:v>
                </c:pt>
              </c:numCache>
            </c:numRef>
          </c:cat>
          <c:val>
            <c:numRef>
              <c:f>'План ДДС'!$B$15:$G$15</c:f>
              <c:numCache>
                <c:formatCode>0</c:formatCode>
                <c:ptCount val="6"/>
                <c:pt idx="0">
                  <c:v>-1115000</c:v>
                </c:pt>
                <c:pt idx="1">
                  <c:v>2477966.1016949154</c:v>
                </c:pt>
                <c:pt idx="2">
                  <c:v>3253950.0143636889</c:v>
                </c:pt>
                <c:pt idx="3">
                  <c:v>3620720.7163341921</c:v>
                </c:pt>
                <c:pt idx="4">
                  <c:v>3535811.1390755796</c:v>
                </c:pt>
                <c:pt idx="5">
                  <c:v>3436999.5584665406</c:v>
                </c:pt>
              </c:numCache>
            </c:numRef>
          </c:val>
          <c:smooth val="0"/>
          <c:extLst>
            <c:ext xmlns:c16="http://schemas.microsoft.com/office/drawing/2014/chart" uri="{C3380CC4-5D6E-409C-BE32-E72D297353CC}">
              <c16:uniqueId val="{00000000-1815-4E5B-AC48-0392488E4816}"/>
            </c:ext>
          </c:extLst>
        </c:ser>
        <c:dLbls>
          <c:showLegendKey val="0"/>
          <c:showVal val="0"/>
          <c:showCatName val="0"/>
          <c:showSerName val="0"/>
          <c:showPercent val="0"/>
          <c:showBubbleSize val="0"/>
        </c:dLbls>
        <c:smooth val="0"/>
        <c:axId val="387390296"/>
        <c:axId val="387390624"/>
      </c:lineChart>
      <c:catAx>
        <c:axId val="387390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87390624"/>
        <c:crosses val="autoZero"/>
        <c:auto val="1"/>
        <c:lblAlgn val="ctr"/>
        <c:lblOffset val="100"/>
        <c:noMultiLvlLbl val="0"/>
      </c:catAx>
      <c:valAx>
        <c:axId val="387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87390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228600</xdr:colOff>
      <xdr:row>2</xdr:row>
      <xdr:rowOff>95250</xdr:rowOff>
    </xdr:from>
    <xdr:to>
      <xdr:col>17</xdr:col>
      <xdr:colOff>533400</xdr:colOff>
      <xdr:row>11</xdr:row>
      <xdr:rowOff>171450</xdr:rowOff>
    </xdr:to>
    <xdr:graphicFrame macro="">
      <xdr:nvGraphicFramePr>
        <xdr:cNvPr id="3" name="Диаграмма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workbookViewId="0">
      <selection activeCell="B23" sqref="B23"/>
    </sheetView>
  </sheetViews>
  <sheetFormatPr defaultRowHeight="14.4" x14ac:dyDescent="0.3"/>
  <cols>
    <col min="1" max="1" width="51" customWidth="1"/>
    <col min="2" max="2" width="20.21875" customWidth="1"/>
    <col min="4" max="4" width="22.6640625" customWidth="1"/>
  </cols>
  <sheetData>
    <row r="1" spans="1:4" x14ac:dyDescent="0.3">
      <c r="A1" s="29" t="s">
        <v>26</v>
      </c>
      <c r="D1" t="s">
        <v>32</v>
      </c>
    </row>
    <row r="2" spans="1:4" x14ac:dyDescent="0.3">
      <c r="A2" s="1" t="s">
        <v>0</v>
      </c>
      <c r="B2" s="2"/>
      <c r="D2" t="s">
        <v>53</v>
      </c>
    </row>
    <row r="3" spans="1:4" x14ac:dyDescent="0.3">
      <c r="A3" s="3" t="s">
        <v>27</v>
      </c>
      <c r="B3" s="2"/>
    </row>
    <row r="4" spans="1:4" x14ac:dyDescent="0.3">
      <c r="A4" s="3" t="s">
        <v>28</v>
      </c>
      <c r="B4" s="30">
        <v>0.15</v>
      </c>
      <c r="D4" s="31" t="s">
        <v>51</v>
      </c>
    </row>
    <row r="5" spans="1:4" x14ac:dyDescent="0.3">
      <c r="A5" s="3" t="s">
        <v>29</v>
      </c>
      <c r="B5" s="35">
        <v>0.18</v>
      </c>
      <c r="D5" t="s">
        <v>64</v>
      </c>
    </row>
    <row r="6" spans="1:4" x14ac:dyDescent="0.3">
      <c r="A6" s="3" t="s">
        <v>31</v>
      </c>
      <c r="B6" s="4">
        <v>500</v>
      </c>
      <c r="D6" t="s">
        <v>33</v>
      </c>
    </row>
    <row r="7" spans="1:4" x14ac:dyDescent="0.3">
      <c r="A7" s="3" t="s">
        <v>120</v>
      </c>
      <c r="B7" s="4">
        <v>12000</v>
      </c>
      <c r="D7" t="s">
        <v>34</v>
      </c>
    </row>
    <row r="8" spans="1:4" x14ac:dyDescent="0.3">
      <c r="A8" s="55" t="s">
        <v>30</v>
      </c>
      <c r="B8" s="55"/>
    </row>
    <row r="9" spans="1:4" x14ac:dyDescent="0.3">
      <c r="A9" s="3" t="s">
        <v>36</v>
      </c>
      <c r="B9" s="4">
        <v>0</v>
      </c>
      <c r="D9" t="s">
        <v>35</v>
      </c>
    </row>
    <row r="10" spans="1:4" x14ac:dyDescent="0.3">
      <c r="A10" s="3" t="s">
        <v>37</v>
      </c>
      <c r="B10" s="4">
        <v>100000</v>
      </c>
      <c r="D10" t="s">
        <v>38</v>
      </c>
    </row>
    <row r="11" spans="1:4" x14ac:dyDescent="0.3">
      <c r="A11" s="3" t="s">
        <v>1</v>
      </c>
      <c r="B11" s="4">
        <v>55000</v>
      </c>
      <c r="D11" t="s">
        <v>56</v>
      </c>
    </row>
    <row r="12" spans="1:4" x14ac:dyDescent="0.3">
      <c r="A12" s="3" t="s">
        <v>39</v>
      </c>
      <c r="B12" s="4">
        <v>2</v>
      </c>
      <c r="D12" t="s">
        <v>42</v>
      </c>
    </row>
    <row r="13" spans="1:4" x14ac:dyDescent="0.3">
      <c r="A13" s="3" t="s">
        <v>40</v>
      </c>
      <c r="B13" s="4">
        <v>2000</v>
      </c>
      <c r="D13" t="s">
        <v>43</v>
      </c>
    </row>
    <row r="14" spans="1:4" x14ac:dyDescent="0.3">
      <c r="A14" s="3" t="s">
        <v>41</v>
      </c>
      <c r="B14" s="4">
        <f>30*8</f>
        <v>240</v>
      </c>
      <c r="D14" t="s">
        <v>70</v>
      </c>
    </row>
    <row r="15" spans="1:4" x14ac:dyDescent="0.3">
      <c r="A15" s="3" t="s">
        <v>57</v>
      </c>
      <c r="B15" s="4">
        <v>0</v>
      </c>
      <c r="D15" t="s">
        <v>58</v>
      </c>
    </row>
    <row r="16" spans="1:4" x14ac:dyDescent="0.3">
      <c r="A16" s="3"/>
      <c r="B16" s="4"/>
    </row>
    <row r="17" spans="1:4" x14ac:dyDescent="0.3">
      <c r="A17" s="3"/>
      <c r="B17" s="4"/>
    </row>
    <row r="18" spans="1:4" x14ac:dyDescent="0.3">
      <c r="A18" s="55" t="s">
        <v>44</v>
      </c>
      <c r="B18" s="55"/>
    </row>
    <row r="19" spans="1:4" x14ac:dyDescent="0.3">
      <c r="A19" s="3" t="s">
        <v>45</v>
      </c>
      <c r="B19" s="66">
        <f>100000*12</f>
        <v>1200000</v>
      </c>
      <c r="D19" t="s">
        <v>46</v>
      </c>
    </row>
    <row r="20" spans="1:4" x14ac:dyDescent="0.3">
      <c r="A20" s="3" t="s">
        <v>47</v>
      </c>
      <c r="B20" s="4">
        <v>2</v>
      </c>
      <c r="D20" t="s">
        <v>48</v>
      </c>
    </row>
    <row r="21" spans="1:4" x14ac:dyDescent="0.3">
      <c r="A21" s="3" t="s">
        <v>49</v>
      </c>
      <c r="B21" s="4">
        <v>0</v>
      </c>
      <c r="D21" t="s">
        <v>50</v>
      </c>
    </row>
    <row r="22" spans="1:4" x14ac:dyDescent="0.3">
      <c r="A22" s="3" t="s">
        <v>52</v>
      </c>
      <c r="B22" s="4">
        <v>100000</v>
      </c>
    </row>
    <row r="23" spans="1:4" x14ac:dyDescent="0.3">
      <c r="A23" s="3" t="s">
        <v>54</v>
      </c>
      <c r="B23" s="4">
        <v>60000</v>
      </c>
      <c r="D23" t="s">
        <v>55</v>
      </c>
    </row>
    <row r="24" spans="1:4" x14ac:dyDescent="0.3">
      <c r="A24" s="55" t="s">
        <v>59</v>
      </c>
      <c r="B24" s="55"/>
    </row>
    <row r="25" spans="1:4" x14ac:dyDescent="0.3">
      <c r="A25" s="3" t="s">
        <v>60</v>
      </c>
      <c r="B25" s="33">
        <v>100000</v>
      </c>
      <c r="D25" t="s">
        <v>69</v>
      </c>
    </row>
    <row r="26" spans="1:4" x14ac:dyDescent="0.3">
      <c r="A26" s="3" t="s">
        <v>61</v>
      </c>
      <c r="B26" s="33">
        <f>B31-B27-B28</f>
        <v>672500</v>
      </c>
    </row>
    <row r="27" spans="1:4" x14ac:dyDescent="0.3">
      <c r="A27" s="3" t="s">
        <v>62</v>
      </c>
      <c r="B27" s="33">
        <v>0</v>
      </c>
      <c r="D27" t="s">
        <v>65</v>
      </c>
    </row>
    <row r="28" spans="1:4" x14ac:dyDescent="0.3">
      <c r="A28" s="32" t="s">
        <v>63</v>
      </c>
      <c r="B28" s="34">
        <v>1000000</v>
      </c>
      <c r="D28" t="s">
        <v>66</v>
      </c>
    </row>
    <row r="29" spans="1:4" x14ac:dyDescent="0.3">
      <c r="A29" s="3"/>
      <c r="B29" s="4"/>
    </row>
    <row r="30" spans="1:4" x14ac:dyDescent="0.3">
      <c r="A30" s="3" t="s">
        <v>67</v>
      </c>
      <c r="B30" s="4">
        <f>B9+B10+B11+B15+B128+B12*B13*B14</f>
        <v>1115000</v>
      </c>
    </row>
    <row r="31" spans="1:4" x14ac:dyDescent="0.3">
      <c r="A31" s="32" t="s">
        <v>68</v>
      </c>
      <c r="B31" s="34">
        <f>B30*1.5</f>
        <v>1672500</v>
      </c>
    </row>
    <row r="32" spans="1:4" x14ac:dyDescent="0.3">
      <c r="A32" s="5"/>
      <c r="B32" s="21"/>
    </row>
    <row r="33" spans="1:2" x14ac:dyDescent="0.3">
      <c r="A33" s="3"/>
      <c r="B33" s="4"/>
    </row>
  </sheetData>
  <mergeCells count="3">
    <mergeCell ref="A8:B8"/>
    <mergeCell ref="A18:B18"/>
    <mergeCell ref="A24:B24"/>
  </mergeCells>
  <pageMargins left="0.25" right="0.25" top="0.75" bottom="0.75" header="0.3" footer="0.3"/>
  <pageSetup paperSize="9" scale="96" fitToWidth="0" orientation="landscape"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8"/>
  <sheetViews>
    <sheetView workbookViewId="0">
      <selection activeCell="B7" sqref="B7"/>
    </sheetView>
  </sheetViews>
  <sheetFormatPr defaultRowHeight="14.4" x14ac:dyDescent="0.3"/>
  <cols>
    <col min="1" max="1" width="29.77734375" customWidth="1"/>
    <col min="2" max="2" width="20.44140625" customWidth="1"/>
  </cols>
  <sheetData>
    <row r="1" spans="1:2" x14ac:dyDescent="0.3">
      <c r="A1" s="18" t="s">
        <v>9</v>
      </c>
      <c r="B1" s="18" t="s">
        <v>24</v>
      </c>
    </row>
    <row r="2" spans="1:2" x14ac:dyDescent="0.3">
      <c r="A2" s="17" t="s">
        <v>113</v>
      </c>
      <c r="B2" s="65">
        <f>'План ДДС'!H15</f>
        <v>15210447.529934917</v>
      </c>
    </row>
    <row r="3" spans="1:2" x14ac:dyDescent="0.3">
      <c r="A3" s="17" t="s">
        <v>117</v>
      </c>
      <c r="B3" s="20">
        <f>CEILING('План ДДС'!B7/'План ДДС'!C12*12,1)</f>
        <v>5</v>
      </c>
    </row>
    <row r="4" spans="1:2" x14ac:dyDescent="0.3">
      <c r="A4" s="17" t="s">
        <v>115</v>
      </c>
      <c r="B4" s="20">
        <f>CEILING('План ДДС'!B7/'План ДДС'!C15*12,1)</f>
        <v>6</v>
      </c>
    </row>
    <row r="5" spans="1:2" x14ac:dyDescent="0.3">
      <c r="A5" s="17" t="s">
        <v>116</v>
      </c>
      <c r="B5" s="26">
        <f>'Планы на будущее'!C6/'Планы на будущее'!C4</f>
        <v>0.57333333333333336</v>
      </c>
    </row>
    <row r="6" spans="1:2" x14ac:dyDescent="0.3">
      <c r="A6" s="17" t="s">
        <v>114</v>
      </c>
      <c r="B6" s="19">
        <f>('План ДДС'!H15-'План ДДС'!B15)/(-'План ДДС'!B16)</f>
        <v>14.641656977520105</v>
      </c>
    </row>
    <row r="7" spans="1:2" x14ac:dyDescent="0.3">
      <c r="A7" s="17" t="s">
        <v>25</v>
      </c>
      <c r="B7" s="26">
        <f>IRR('План ДДС'!B12:G12)</f>
        <v>3.0631917670764821</v>
      </c>
    </row>
    <row r="8" spans="1:2" x14ac:dyDescent="0.3">
      <c r="A8" s="17"/>
      <c r="B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
  <sheetViews>
    <sheetView topLeftCell="A7" workbookViewId="0">
      <selection activeCell="H11" sqref="H11"/>
    </sheetView>
  </sheetViews>
  <sheetFormatPr defaultRowHeight="14.4" x14ac:dyDescent="0.3"/>
  <cols>
    <col min="1" max="1" width="20" customWidth="1"/>
    <col min="3" max="7" width="4.77734375" customWidth="1"/>
  </cols>
  <sheetData>
    <row r="1" spans="1:28" x14ac:dyDescent="0.3">
      <c r="A1" s="36" t="s">
        <v>71</v>
      </c>
      <c r="B1" s="36"/>
      <c r="C1" s="36"/>
      <c r="D1" s="36"/>
      <c r="E1" s="36"/>
      <c r="F1" s="36"/>
      <c r="G1" s="36"/>
      <c r="H1" s="36"/>
    </row>
    <row r="2" spans="1:28" ht="21" customHeight="1" x14ac:dyDescent="0.3">
      <c r="A2" s="56" t="s">
        <v>2</v>
      </c>
      <c r="B2" s="56" t="s">
        <v>3</v>
      </c>
      <c r="C2" s="56"/>
      <c r="D2" s="56"/>
      <c r="E2" s="56"/>
      <c r="F2" s="56"/>
      <c r="G2" s="56"/>
      <c r="H2" s="56" t="s">
        <v>4</v>
      </c>
    </row>
    <row r="3" spans="1:28" x14ac:dyDescent="0.3">
      <c r="A3" s="56"/>
      <c r="B3" s="6">
        <v>0</v>
      </c>
      <c r="C3" s="6">
        <v>1</v>
      </c>
      <c r="D3" s="6">
        <v>2</v>
      </c>
      <c r="E3" s="6">
        <v>3</v>
      </c>
      <c r="F3" s="6">
        <v>4</v>
      </c>
      <c r="G3" s="6">
        <v>5</v>
      </c>
      <c r="H3" s="56"/>
    </row>
    <row r="4" spans="1:28" ht="27.6" x14ac:dyDescent="0.3">
      <c r="A4" s="37" t="s">
        <v>5</v>
      </c>
      <c r="B4" s="38">
        <f t="shared" ref="B4:G4" si="0">SUM(B5:B8)</f>
        <v>1060000</v>
      </c>
      <c r="C4" s="38">
        <f t="shared" si="0"/>
        <v>0</v>
      </c>
      <c r="D4" s="38">
        <f t="shared" si="0"/>
        <v>0</v>
      </c>
      <c r="E4" s="38">
        <f t="shared" si="0"/>
        <v>0</v>
      </c>
      <c r="F4" s="38">
        <f t="shared" si="0"/>
        <v>0</v>
      </c>
      <c r="G4" s="38">
        <f t="shared" si="0"/>
        <v>0</v>
      </c>
      <c r="H4" s="38">
        <f>SUM(B4:G4)</f>
        <v>1060000</v>
      </c>
    </row>
    <row r="5" spans="1:28" x14ac:dyDescent="0.3">
      <c r="A5" s="7" t="str">
        <f>Данные!A9</f>
        <v>Основные средства</v>
      </c>
      <c r="B5" s="7">
        <f>Данные!B9</f>
        <v>0</v>
      </c>
      <c r="C5" s="9"/>
      <c r="D5" s="9"/>
      <c r="E5" s="9"/>
      <c r="F5" s="9"/>
      <c r="G5" s="9"/>
      <c r="H5" s="38">
        <f t="shared" ref="H5:H10" si="1">SUM(B5:G5)</f>
        <v>0</v>
      </c>
    </row>
    <row r="6" spans="1:28" ht="27.6" x14ac:dyDescent="0.3">
      <c r="A6" s="7" t="str">
        <f>Данные!A10</f>
        <v>Нематериальные активы</v>
      </c>
      <c r="B6" s="7">
        <f>Данные!B10</f>
        <v>100000</v>
      </c>
      <c r="C6" s="9"/>
      <c r="D6" s="9"/>
      <c r="E6" s="9"/>
      <c r="F6" s="9"/>
      <c r="G6" s="9"/>
      <c r="H6" s="38">
        <f t="shared" si="1"/>
        <v>100000</v>
      </c>
    </row>
    <row r="7" spans="1:28" ht="27.6" x14ac:dyDescent="0.3">
      <c r="A7" s="7" t="str">
        <f>Данные!A15</f>
        <v>Предварительные исследования</v>
      </c>
      <c r="B7" s="7">
        <f>Данные!B15</f>
        <v>0</v>
      </c>
      <c r="C7" s="9"/>
      <c r="D7" s="9"/>
      <c r="E7" s="9"/>
      <c r="F7" s="9"/>
      <c r="G7" s="9"/>
      <c r="H7" s="38">
        <f t="shared" si="1"/>
        <v>0</v>
      </c>
      <c r="J7" t="s">
        <v>118</v>
      </c>
    </row>
    <row r="8" spans="1:28" ht="55.2" x14ac:dyDescent="0.3">
      <c r="A8" s="7" t="s">
        <v>72</v>
      </c>
      <c r="B8" s="9">
        <f>Данные!B12*Данные!B13*Данные!B14</f>
        <v>960000</v>
      </c>
      <c r="C8" s="9"/>
      <c r="D8" s="9"/>
      <c r="E8" s="9"/>
      <c r="F8" s="9"/>
      <c r="G8" s="9"/>
      <c r="H8" s="38">
        <f t="shared" si="1"/>
        <v>960000</v>
      </c>
    </row>
    <row r="9" spans="1:28" ht="27.6" x14ac:dyDescent="0.3">
      <c r="A9" s="37" t="s">
        <v>6</v>
      </c>
      <c r="B9" s="38">
        <f t="shared" ref="B9:G9" si="2">SUM(B10:B10)</f>
        <v>55000</v>
      </c>
      <c r="C9" s="38">
        <f t="shared" si="2"/>
        <v>0</v>
      </c>
      <c r="D9" s="38">
        <f t="shared" si="2"/>
        <v>0</v>
      </c>
      <c r="E9" s="38">
        <f t="shared" si="2"/>
        <v>0</v>
      </c>
      <c r="F9" s="38">
        <f t="shared" si="2"/>
        <v>0</v>
      </c>
      <c r="G9" s="38">
        <f t="shared" si="2"/>
        <v>0</v>
      </c>
      <c r="H9" s="38">
        <f t="shared" si="1"/>
        <v>55000</v>
      </c>
    </row>
    <row r="10" spans="1:28" x14ac:dyDescent="0.3">
      <c r="A10" s="7" t="s">
        <v>1</v>
      </c>
      <c r="B10" s="9">
        <f>Данные!B11</f>
        <v>55000</v>
      </c>
      <c r="C10" s="9"/>
      <c r="D10" s="9"/>
      <c r="E10" s="9"/>
      <c r="F10" s="9"/>
      <c r="G10" s="9"/>
      <c r="H10" s="38">
        <f t="shared" si="1"/>
        <v>55000</v>
      </c>
    </row>
    <row r="11" spans="1:28" s="39" customFormat="1" ht="27.6" x14ac:dyDescent="0.3">
      <c r="A11" s="37" t="s">
        <v>7</v>
      </c>
      <c r="B11" s="38">
        <f t="shared" ref="B11:H11" si="3">B4+B9</f>
        <v>1115000</v>
      </c>
      <c r="C11" s="38">
        <f t="shared" si="3"/>
        <v>0</v>
      </c>
      <c r="D11" s="38">
        <f t="shared" si="3"/>
        <v>0</v>
      </c>
      <c r="E11" s="38">
        <f t="shared" si="3"/>
        <v>0</v>
      </c>
      <c r="F11" s="38">
        <f t="shared" si="3"/>
        <v>0</v>
      </c>
      <c r="G11" s="38">
        <f t="shared" si="3"/>
        <v>0</v>
      </c>
      <c r="H11" s="38">
        <f t="shared" si="3"/>
        <v>1115000</v>
      </c>
      <c r="I11"/>
      <c r="J11" s="9"/>
      <c r="K11"/>
      <c r="L11"/>
      <c r="M11"/>
      <c r="N11"/>
      <c r="O11"/>
      <c r="P11"/>
      <c r="Q11"/>
      <c r="R11"/>
      <c r="S11"/>
      <c r="T11"/>
      <c r="U11"/>
      <c r="V11"/>
      <c r="W11"/>
      <c r="X11"/>
      <c r="Y11"/>
      <c r="Z11"/>
      <c r="AA11"/>
      <c r="AB11"/>
    </row>
  </sheetData>
  <mergeCells count="3">
    <mergeCell ref="A2:A3"/>
    <mergeCell ref="B2:G2"/>
    <mergeCell ref="H2:H3"/>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
  <sheetViews>
    <sheetView tabSelected="1" workbookViewId="0">
      <selection activeCell="E25" sqref="E25"/>
    </sheetView>
  </sheetViews>
  <sheetFormatPr defaultRowHeight="14.4" x14ac:dyDescent="0.3"/>
  <cols>
    <col min="1" max="1" width="34.21875" customWidth="1"/>
    <col min="2" max="2" width="4.77734375" customWidth="1"/>
    <col min="3" max="3" width="11.5546875" bestFit="1" customWidth="1"/>
    <col min="4" max="4" width="11.109375" bestFit="1" customWidth="1"/>
    <col min="5" max="5" width="12.77734375" customWidth="1"/>
    <col min="6" max="7" width="10.109375" bestFit="1" customWidth="1"/>
    <col min="8" max="8" width="13.44140625" customWidth="1"/>
  </cols>
  <sheetData>
    <row r="1" spans="1:8" x14ac:dyDescent="0.3">
      <c r="A1" s="57" t="s">
        <v>73</v>
      </c>
      <c r="B1" s="57"/>
      <c r="C1" s="57"/>
      <c r="D1" s="57"/>
      <c r="E1" s="57"/>
      <c r="F1" s="57"/>
      <c r="G1" s="57"/>
      <c r="H1" s="57"/>
    </row>
    <row r="2" spans="1:8" x14ac:dyDescent="0.3">
      <c r="A2" s="56" t="s">
        <v>0</v>
      </c>
      <c r="B2" s="56" t="s">
        <v>3</v>
      </c>
      <c r="C2" s="56"/>
      <c r="D2" s="56"/>
      <c r="E2" s="56"/>
      <c r="F2" s="56"/>
      <c r="G2" s="56"/>
      <c r="H2" s="56" t="s">
        <v>4</v>
      </c>
    </row>
    <row r="3" spans="1:8" x14ac:dyDescent="0.3">
      <c r="A3" s="56"/>
      <c r="B3" s="6">
        <v>0</v>
      </c>
      <c r="C3" s="6">
        <v>1</v>
      </c>
      <c r="D3" s="6">
        <v>2</v>
      </c>
      <c r="E3" s="6">
        <v>3</v>
      </c>
      <c r="F3" s="6">
        <v>4</v>
      </c>
      <c r="G3" s="6">
        <v>5</v>
      </c>
      <c r="H3" s="56"/>
    </row>
    <row r="4" spans="1:8" x14ac:dyDescent="0.3">
      <c r="A4" s="11" t="s">
        <v>74</v>
      </c>
      <c r="B4" s="11"/>
      <c r="C4" s="54">
        <f>Данные!$B$6*Данные!$B$7</f>
        <v>6000000</v>
      </c>
      <c r="D4" s="54">
        <f>Данные!$B$6*Данные!$B$7*1.3</f>
        <v>7800000</v>
      </c>
      <c r="E4" s="54">
        <f>Данные!$B$6*Данные!$B$7*1.3*1.2</f>
        <v>9360000</v>
      </c>
      <c r="F4" s="54">
        <f>Данные!$B$6*Данные!$B$7*1.3*1.2*1.1</f>
        <v>10296000</v>
      </c>
      <c r="G4" s="54">
        <f>Данные!$B$6*Данные!$B$7*1.3*1.2*1.1*1.1</f>
        <v>11325600</v>
      </c>
      <c r="H4" s="54">
        <f>SUM(C4:G4)</f>
        <v>44781600</v>
      </c>
    </row>
    <row r="5" spans="1:8" ht="27.6" x14ac:dyDescent="0.3">
      <c r="A5" s="11" t="s">
        <v>75</v>
      </c>
      <c r="B5" s="11"/>
      <c r="C5" s="54">
        <f>'Затраты общие'!C8</f>
        <v>2560000</v>
      </c>
      <c r="D5" s="54">
        <f>'Затраты общие'!D8*1.2</f>
        <v>3072000</v>
      </c>
      <c r="E5" s="54">
        <f>'Затраты общие'!E8*1.2*1.2</f>
        <v>3686400</v>
      </c>
      <c r="F5" s="54">
        <f>'Затраты общие'!F8*1.2*1.2*1.2</f>
        <v>4423680</v>
      </c>
      <c r="G5" s="54">
        <f>'Затраты общие'!G8*1.2*1.2*1.2*1.2</f>
        <v>5308416</v>
      </c>
      <c r="H5" s="54">
        <f t="shared" ref="H5:H8" si="0">SUM(C5:G5)</f>
        <v>19050496</v>
      </c>
    </row>
    <row r="6" spans="1:8" x14ac:dyDescent="0.3">
      <c r="A6" s="11" t="s">
        <v>76</v>
      </c>
      <c r="B6" s="11"/>
      <c r="C6" s="54">
        <f>C4-C5</f>
        <v>3440000</v>
      </c>
      <c r="D6" s="54">
        <f t="shared" ref="D6:G6" si="1">D4-D5</f>
        <v>4728000</v>
      </c>
      <c r="E6" s="54">
        <f>E4-E5</f>
        <v>5673600</v>
      </c>
      <c r="F6" s="54">
        <f t="shared" si="1"/>
        <v>5872320</v>
      </c>
      <c r="G6" s="54">
        <f t="shared" si="1"/>
        <v>6017184</v>
      </c>
      <c r="H6" s="54">
        <f t="shared" si="0"/>
        <v>25731104</v>
      </c>
    </row>
    <row r="7" spans="1:8" x14ac:dyDescent="0.3">
      <c r="A7" s="11" t="s">
        <v>77</v>
      </c>
      <c r="B7" s="11"/>
      <c r="C7" s="54">
        <f>C6*Данные!$B$4</f>
        <v>516000</v>
      </c>
      <c r="D7" s="54">
        <f>D6*Данные!$B$4</f>
        <v>709200</v>
      </c>
      <c r="E7" s="54">
        <f>E6*Данные!$B$4</f>
        <v>851040</v>
      </c>
      <c r="F7" s="54">
        <f>F6*Данные!$B$4</f>
        <v>880848</v>
      </c>
      <c r="G7" s="54">
        <f>G6*Данные!$B$4</f>
        <v>902577.6</v>
      </c>
      <c r="H7" s="54">
        <f t="shared" si="0"/>
        <v>3859665.6</v>
      </c>
    </row>
    <row r="8" spans="1:8" x14ac:dyDescent="0.3">
      <c r="A8" s="11" t="s">
        <v>78</v>
      </c>
      <c r="B8" s="11"/>
      <c r="C8" s="54">
        <f>C6-C7</f>
        <v>2924000</v>
      </c>
      <c r="D8" s="54">
        <f t="shared" ref="D8:G8" si="2">D6-D7</f>
        <v>4018800</v>
      </c>
      <c r="E8" s="54">
        <f t="shared" si="2"/>
        <v>4822560</v>
      </c>
      <c r="F8" s="54">
        <f t="shared" si="2"/>
        <v>4991472</v>
      </c>
      <c r="G8" s="54">
        <f t="shared" si="2"/>
        <v>5114606.4000000004</v>
      </c>
      <c r="H8" s="54">
        <f t="shared" si="0"/>
        <v>21871438.399999999</v>
      </c>
    </row>
    <row r="9" spans="1:8" ht="27.6" x14ac:dyDescent="0.3">
      <c r="A9" s="11" t="s">
        <v>79</v>
      </c>
      <c r="B9" s="11"/>
      <c r="C9" s="54">
        <f>C8</f>
        <v>2924000</v>
      </c>
      <c r="D9" s="54">
        <f>C9+D8</f>
        <v>6942800</v>
      </c>
      <c r="E9" s="54">
        <f t="shared" ref="E9:G9" si="3">D9+E8</f>
        <v>11765360</v>
      </c>
      <c r="F9" s="54">
        <f t="shared" si="3"/>
        <v>16756832</v>
      </c>
      <c r="G9" s="54">
        <f t="shared" si="3"/>
        <v>21871438.399999999</v>
      </c>
      <c r="H9" s="54"/>
    </row>
  </sheetData>
  <mergeCells count="4">
    <mergeCell ref="A2:A3"/>
    <mergeCell ref="B2:G2"/>
    <mergeCell ref="H2:H3"/>
    <mergeCell ref="A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6"/>
  <sheetViews>
    <sheetView workbookViewId="0">
      <selection activeCell="C4" sqref="C4"/>
    </sheetView>
  </sheetViews>
  <sheetFormatPr defaultRowHeight="14.4" x14ac:dyDescent="0.3"/>
  <cols>
    <col min="1" max="1" width="43.77734375" customWidth="1"/>
    <col min="2" max="2" width="4.77734375" customWidth="1"/>
    <col min="3" max="7" width="10.21875" bestFit="1" customWidth="1"/>
    <col min="8" max="8" width="11.21875" bestFit="1" customWidth="1"/>
  </cols>
  <sheetData>
    <row r="1" spans="1:8" x14ac:dyDescent="0.3">
      <c r="A1" s="57" t="s">
        <v>119</v>
      </c>
      <c r="B1" s="57"/>
      <c r="C1" s="57"/>
      <c r="D1" s="57"/>
      <c r="E1" s="57"/>
      <c r="F1" s="57"/>
      <c r="G1" s="57"/>
      <c r="H1" s="57"/>
    </row>
    <row r="2" spans="1:8" x14ac:dyDescent="0.3">
      <c r="A2" s="56" t="s">
        <v>8</v>
      </c>
      <c r="B2" s="56" t="s">
        <v>3</v>
      </c>
      <c r="C2" s="56"/>
      <c r="D2" s="56"/>
      <c r="E2" s="56"/>
      <c r="F2" s="56"/>
      <c r="G2" s="56"/>
      <c r="H2" s="56" t="s">
        <v>4</v>
      </c>
    </row>
    <row r="3" spans="1:8" x14ac:dyDescent="0.3">
      <c r="A3" s="56"/>
      <c r="B3" s="6">
        <v>0</v>
      </c>
      <c r="C3" s="6">
        <v>1</v>
      </c>
      <c r="D3" s="6">
        <v>2</v>
      </c>
      <c r="E3" s="6">
        <v>3</v>
      </c>
      <c r="F3" s="6">
        <v>4</v>
      </c>
      <c r="G3" s="6">
        <v>5</v>
      </c>
      <c r="H3" s="56"/>
    </row>
    <row r="4" spans="1:8" x14ac:dyDescent="0.3">
      <c r="A4" s="11" t="str">
        <f>Данные!A19</f>
        <v>Заработная плата сотрудника</v>
      </c>
      <c r="B4" s="8"/>
      <c r="C4" s="40">
        <f>Данные!$B$19*Данные!$B$20</f>
        <v>2400000</v>
      </c>
      <c r="D4" s="40">
        <f>Данные!$B$19*Данные!$B$20</f>
        <v>2400000</v>
      </c>
      <c r="E4" s="40">
        <f>Данные!$B$19*Данные!$B$20</f>
        <v>2400000</v>
      </c>
      <c r="F4" s="40">
        <f>Данные!$B$19*Данные!$B$20</f>
        <v>2400000</v>
      </c>
      <c r="G4" s="40">
        <f>Данные!$B$19*Данные!$B$20</f>
        <v>2400000</v>
      </c>
      <c r="H4" s="40">
        <f>SUM(C4:G4)</f>
        <v>12000000</v>
      </c>
    </row>
    <row r="5" spans="1:8" x14ac:dyDescent="0.3">
      <c r="A5" s="11" t="str">
        <f>Данные!A21</f>
        <v>аренда</v>
      </c>
      <c r="B5" s="8"/>
      <c r="C5" s="40">
        <f>Данные!$B$21</f>
        <v>0</v>
      </c>
      <c r="D5" s="40">
        <f>Данные!$B$21</f>
        <v>0</v>
      </c>
      <c r="E5" s="40">
        <f>Данные!$B$21</f>
        <v>0</v>
      </c>
      <c r="F5" s="40">
        <f>Данные!$B$21</f>
        <v>0</v>
      </c>
      <c r="G5" s="40">
        <f>Данные!$B$21</f>
        <v>0</v>
      </c>
      <c r="H5" s="40">
        <f t="shared" ref="H5:H8" si="0">SUM(C5:G5)</f>
        <v>0</v>
      </c>
    </row>
    <row r="6" spans="1:8" x14ac:dyDescent="0.3">
      <c r="A6" s="11" t="str">
        <f>Данные!A22</f>
        <v>реклама, продвижение</v>
      </c>
      <c r="B6" s="8"/>
      <c r="C6" s="40">
        <f>Данные!$B$22</f>
        <v>100000</v>
      </c>
      <c r="D6" s="40">
        <f>Данные!$B$22</f>
        <v>100000</v>
      </c>
      <c r="E6" s="40">
        <f>Данные!$B$22</f>
        <v>100000</v>
      </c>
      <c r="F6" s="40">
        <f>Данные!$B$22</f>
        <v>100000</v>
      </c>
      <c r="G6" s="40">
        <f>Данные!$B$22</f>
        <v>100000</v>
      </c>
      <c r="H6" s="40">
        <f t="shared" si="0"/>
        <v>500000</v>
      </c>
    </row>
    <row r="7" spans="1:8" x14ac:dyDescent="0.3">
      <c r="A7" s="11" t="str">
        <f>Данные!A23</f>
        <v>Прочие затраты</v>
      </c>
      <c r="B7" s="8"/>
      <c r="C7" s="40">
        <f>Данные!$B$23</f>
        <v>60000</v>
      </c>
      <c r="D7" s="40">
        <f>Данные!$B$23</f>
        <v>60000</v>
      </c>
      <c r="E7" s="40">
        <f>Данные!$B$23</f>
        <v>60000</v>
      </c>
      <c r="F7" s="40">
        <f>Данные!$B$23</f>
        <v>60000</v>
      </c>
      <c r="G7" s="40">
        <f>Данные!$B$23</f>
        <v>60000</v>
      </c>
      <c r="H7" s="40">
        <f t="shared" si="0"/>
        <v>300000</v>
      </c>
    </row>
    <row r="8" spans="1:8" x14ac:dyDescent="0.3">
      <c r="A8" s="11" t="s">
        <v>80</v>
      </c>
      <c r="B8" s="8"/>
      <c r="C8" s="40">
        <f>C4+C5+C6+C7</f>
        <v>2560000</v>
      </c>
      <c r="D8" s="40">
        <f t="shared" ref="D8:G8" si="1">D4+D5+D6+D7</f>
        <v>2560000</v>
      </c>
      <c r="E8" s="40">
        <f t="shared" si="1"/>
        <v>2560000</v>
      </c>
      <c r="F8" s="40">
        <f t="shared" si="1"/>
        <v>2560000</v>
      </c>
      <c r="G8" s="40">
        <f t="shared" si="1"/>
        <v>2560000</v>
      </c>
      <c r="H8" s="40">
        <f t="shared" si="0"/>
        <v>12800000</v>
      </c>
    </row>
    <row r="9" spans="1:8" x14ac:dyDescent="0.3">
      <c r="A9" s="11"/>
      <c r="B9" s="8"/>
      <c r="C9" s="40"/>
      <c r="D9" s="40"/>
      <c r="E9" s="40"/>
      <c r="F9" s="40"/>
      <c r="G9" s="40"/>
      <c r="H9" s="40"/>
    </row>
    <row r="10" spans="1:8" x14ac:dyDescent="0.3">
      <c r="A10" s="11"/>
      <c r="B10" s="8"/>
      <c r="C10" s="40"/>
      <c r="D10" s="40"/>
      <c r="E10" s="40"/>
      <c r="F10" s="40"/>
      <c r="G10" s="40"/>
      <c r="H10" s="40"/>
    </row>
    <row r="11" spans="1:8" x14ac:dyDescent="0.3">
      <c r="A11" s="11"/>
      <c r="B11" s="8"/>
      <c r="C11" s="40"/>
      <c r="D11" s="40"/>
      <c r="E11" s="40"/>
      <c r="F11" s="40"/>
      <c r="G11" s="40"/>
      <c r="H11" s="40"/>
    </row>
    <row r="12" spans="1:8" x14ac:dyDescent="0.3">
      <c r="A12" s="11"/>
      <c r="B12" s="8"/>
      <c r="C12" s="40"/>
      <c r="D12" s="40"/>
      <c r="E12" s="40"/>
      <c r="F12" s="40"/>
      <c r="G12" s="40"/>
      <c r="H12" s="40"/>
    </row>
    <row r="14" spans="1:8" x14ac:dyDescent="0.3">
      <c r="A14" s="11"/>
    </row>
    <row r="15" spans="1:8" x14ac:dyDescent="0.3">
      <c r="A15" s="11"/>
      <c r="C15" s="22"/>
    </row>
    <row r="16" spans="1:8" x14ac:dyDescent="0.3">
      <c r="A16" s="11"/>
    </row>
  </sheetData>
  <mergeCells count="4">
    <mergeCell ref="A2:A3"/>
    <mergeCell ref="B2:G2"/>
    <mergeCell ref="H2:H3"/>
    <mergeCell ref="A1:H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
  <sheetViews>
    <sheetView zoomScale="70" zoomScaleNormal="70" workbookViewId="0">
      <selection activeCell="E43" sqref="E43"/>
    </sheetView>
  </sheetViews>
  <sheetFormatPr defaultRowHeight="14.4" x14ac:dyDescent="0.3"/>
  <cols>
    <col min="1" max="1" width="42.21875" customWidth="1"/>
    <col min="3" max="7" width="4.77734375" customWidth="1"/>
  </cols>
  <sheetData>
    <row r="1" spans="1:14" ht="23.25" customHeight="1" x14ac:dyDescent="0.3">
      <c r="A1" s="59" t="s">
        <v>81</v>
      </c>
      <c r="B1" s="59"/>
      <c r="C1" s="59"/>
      <c r="D1" s="59"/>
      <c r="E1" s="59"/>
      <c r="F1" s="59"/>
      <c r="G1" s="59"/>
      <c r="H1" s="11"/>
    </row>
    <row r="2" spans="1:14" ht="14.55" customHeight="1" x14ac:dyDescent="0.3">
      <c r="A2" s="56" t="s">
        <v>0</v>
      </c>
      <c r="B2" s="56" t="s">
        <v>23</v>
      </c>
      <c r="C2" s="11"/>
      <c r="D2" s="11"/>
      <c r="E2" s="11"/>
      <c r="F2" s="11"/>
      <c r="G2" s="11"/>
      <c r="H2" s="56"/>
    </row>
    <row r="3" spans="1:14" x14ac:dyDescent="0.3">
      <c r="A3" s="56"/>
      <c r="B3" s="56"/>
      <c r="C3" s="6"/>
      <c r="D3" s="6"/>
      <c r="E3" s="6"/>
      <c r="F3" s="6"/>
      <c r="G3" s="6"/>
      <c r="H3" s="56"/>
    </row>
    <row r="4" spans="1:14" x14ac:dyDescent="0.3">
      <c r="A4" s="11" t="s">
        <v>74</v>
      </c>
      <c r="B4" s="11">
        <v>0</v>
      </c>
      <c r="C4" s="16"/>
      <c r="D4" s="16"/>
      <c r="E4" s="16"/>
      <c r="F4" s="16"/>
      <c r="G4" s="16"/>
      <c r="H4" s="16"/>
    </row>
    <row r="5" spans="1:14" ht="27.6" x14ac:dyDescent="0.3">
      <c r="A5" s="11" t="s">
        <v>75</v>
      </c>
      <c r="B5" s="11">
        <v>0</v>
      </c>
      <c r="C5" s="16"/>
      <c r="D5" s="16"/>
      <c r="E5" s="16"/>
      <c r="F5" s="16"/>
      <c r="G5" s="16"/>
      <c r="H5" s="16"/>
    </row>
    <row r="6" spans="1:14" ht="15.45" customHeight="1" x14ac:dyDescent="0.3">
      <c r="A6" s="11" t="s">
        <v>76</v>
      </c>
      <c r="B6" s="11">
        <v>0</v>
      </c>
      <c r="C6" s="16"/>
      <c r="D6" s="16"/>
      <c r="E6" s="16"/>
      <c r="F6" s="16"/>
      <c r="G6" s="16"/>
      <c r="H6" s="16"/>
    </row>
    <row r="7" spans="1:14" ht="16.05" customHeight="1" x14ac:dyDescent="0.3">
      <c r="A7" s="11" t="s">
        <v>77</v>
      </c>
      <c r="B7" s="11">
        <v>0</v>
      </c>
      <c r="C7" s="16"/>
      <c r="D7" s="16"/>
      <c r="E7" s="58" t="s">
        <v>82</v>
      </c>
      <c r="F7" s="58"/>
      <c r="G7" s="58"/>
      <c r="H7" s="58"/>
      <c r="I7" s="58"/>
      <c r="J7" s="58"/>
      <c r="K7" s="58"/>
      <c r="L7" s="58"/>
      <c r="M7" s="58"/>
      <c r="N7" s="58"/>
    </row>
    <row r="8" spans="1:14" x14ac:dyDescent="0.3">
      <c r="A8" s="11" t="s">
        <v>78</v>
      </c>
      <c r="B8" s="11">
        <v>0</v>
      </c>
      <c r="C8" s="16"/>
      <c r="D8" s="16"/>
      <c r="E8" s="16"/>
      <c r="F8" s="16"/>
      <c r="G8" s="16"/>
      <c r="H8" s="16"/>
    </row>
    <row r="9" spans="1:14" x14ac:dyDescent="0.3">
      <c r="A9" s="11" t="s">
        <v>79</v>
      </c>
      <c r="B9" s="11">
        <v>0</v>
      </c>
      <c r="C9" s="16"/>
      <c r="D9" s="16"/>
      <c r="E9" s="16"/>
      <c r="F9" s="16"/>
      <c r="G9" s="16"/>
      <c r="H9" s="16"/>
    </row>
    <row r="10" spans="1:14" x14ac:dyDescent="0.3">
      <c r="A10" s="10"/>
      <c r="B10" s="8"/>
      <c r="C10" s="8"/>
      <c r="D10" s="8"/>
      <c r="E10" s="8"/>
      <c r="F10" s="8"/>
      <c r="G10" s="8"/>
      <c r="H10" s="8"/>
    </row>
  </sheetData>
  <mergeCells count="5">
    <mergeCell ref="E7:N7"/>
    <mergeCell ref="A1:G1"/>
    <mergeCell ref="A2:A3"/>
    <mergeCell ref="H2:H3"/>
    <mergeCell ref="B2:B3"/>
  </mergeCells>
  <pageMargins left="0.7" right="0.7" top="0.75" bottom="0.75" header="0.3" footer="0.3"/>
  <pageSetup paperSize="9"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
  <sheetViews>
    <sheetView workbookViewId="0">
      <selection activeCell="A2" sqref="A2:D14"/>
    </sheetView>
  </sheetViews>
  <sheetFormatPr defaultRowHeight="14.4" x14ac:dyDescent="0.3"/>
  <cols>
    <col min="1" max="1" width="29.21875" customWidth="1"/>
    <col min="2" max="2" width="11.5546875" customWidth="1"/>
    <col min="3" max="3" width="27.109375" customWidth="1"/>
    <col min="4" max="4" width="11.21875" customWidth="1"/>
    <col min="5" max="5" width="14.77734375" customWidth="1"/>
    <col min="7" max="7" width="9.44140625" bestFit="1" customWidth="1"/>
  </cols>
  <sheetData>
    <row r="1" spans="1:10" x14ac:dyDescent="0.3">
      <c r="A1" s="59" t="s">
        <v>83</v>
      </c>
      <c r="B1" s="56"/>
      <c r="C1" s="56"/>
      <c r="D1" s="56"/>
      <c r="E1" s="56"/>
      <c r="F1" s="56"/>
      <c r="G1" s="56"/>
    </row>
    <row r="2" spans="1:10" x14ac:dyDescent="0.3">
      <c r="A2" s="27" t="s">
        <v>84</v>
      </c>
      <c r="B2" s="42" t="s">
        <v>23</v>
      </c>
      <c r="C2" s="43" t="s">
        <v>85</v>
      </c>
      <c r="D2" s="43" t="s">
        <v>23</v>
      </c>
      <c r="E2" s="12"/>
      <c r="F2" s="45"/>
      <c r="G2" s="12"/>
    </row>
    <row r="3" spans="1:10" ht="13.5" customHeight="1" x14ac:dyDescent="0.3">
      <c r="A3" s="27" t="s">
        <v>86</v>
      </c>
      <c r="B3" s="43"/>
      <c r="C3" s="43" t="s">
        <v>95</v>
      </c>
      <c r="D3" s="43"/>
      <c r="E3" s="12"/>
      <c r="F3" s="60" t="s">
        <v>82</v>
      </c>
      <c r="G3" s="60"/>
      <c r="H3" s="60"/>
      <c r="I3" s="60"/>
      <c r="J3" s="60"/>
    </row>
    <row r="4" spans="1:10" x14ac:dyDescent="0.3">
      <c r="A4" s="27" t="s">
        <v>87</v>
      </c>
      <c r="B4" s="43">
        <v>0</v>
      </c>
      <c r="C4" s="43" t="s">
        <v>96</v>
      </c>
      <c r="D4" s="43">
        <v>0</v>
      </c>
      <c r="E4" s="12"/>
      <c r="F4" s="60"/>
      <c r="G4" s="60"/>
      <c r="H4" s="60"/>
      <c r="I4" s="60"/>
      <c r="J4" s="60"/>
    </row>
    <row r="5" spans="1:10" x14ac:dyDescent="0.3">
      <c r="A5" s="27" t="s">
        <v>37</v>
      </c>
      <c r="B5" s="43">
        <v>0</v>
      </c>
      <c r="C5" s="43" t="s">
        <v>97</v>
      </c>
      <c r="D5" s="43">
        <v>0</v>
      </c>
      <c r="E5" s="12"/>
      <c r="F5" s="44"/>
      <c r="G5" s="12"/>
    </row>
    <row r="6" spans="1:10" x14ac:dyDescent="0.3">
      <c r="A6" s="27" t="s">
        <v>88</v>
      </c>
      <c r="B6" s="43">
        <v>0</v>
      </c>
      <c r="C6" s="43" t="s">
        <v>103</v>
      </c>
      <c r="D6" s="43">
        <v>0</v>
      </c>
      <c r="E6" s="12"/>
      <c r="F6" s="44"/>
      <c r="G6" s="12"/>
    </row>
    <row r="7" spans="1:10" x14ac:dyDescent="0.3">
      <c r="A7" s="27" t="s">
        <v>89</v>
      </c>
      <c r="B7" s="43"/>
      <c r="C7" s="43" t="s">
        <v>98</v>
      </c>
      <c r="D7" s="43"/>
      <c r="G7" s="12"/>
    </row>
    <row r="8" spans="1:10" x14ac:dyDescent="0.3">
      <c r="A8" s="27" t="s">
        <v>90</v>
      </c>
      <c r="B8" s="43">
        <v>0</v>
      </c>
      <c r="C8" s="46" t="s">
        <v>99</v>
      </c>
      <c r="D8" s="43">
        <v>0</v>
      </c>
    </row>
    <row r="9" spans="1:10" x14ac:dyDescent="0.3">
      <c r="A9" s="27" t="s">
        <v>91</v>
      </c>
      <c r="B9" s="43">
        <v>0</v>
      </c>
      <c r="C9" s="43" t="s">
        <v>105</v>
      </c>
      <c r="D9" s="43">
        <v>0</v>
      </c>
    </row>
    <row r="10" spans="1:10" ht="27.6" x14ac:dyDescent="0.3">
      <c r="A10" s="27" t="s">
        <v>92</v>
      </c>
      <c r="B10" s="43">
        <v>0</v>
      </c>
      <c r="C10" s="46" t="s">
        <v>100</v>
      </c>
      <c r="D10" s="43"/>
    </row>
    <row r="11" spans="1:10" x14ac:dyDescent="0.3">
      <c r="A11" s="27" t="s">
        <v>93</v>
      </c>
      <c r="B11" s="43">
        <v>0</v>
      </c>
      <c r="C11" s="46" t="s">
        <v>101</v>
      </c>
      <c r="D11" s="43">
        <v>0</v>
      </c>
    </row>
    <row r="12" spans="1:10" x14ac:dyDescent="0.3">
      <c r="A12" s="27" t="s">
        <v>104</v>
      </c>
      <c r="B12" s="43">
        <v>0</v>
      </c>
      <c r="C12" s="46" t="s">
        <v>102</v>
      </c>
      <c r="D12" s="43">
        <v>0</v>
      </c>
    </row>
    <row r="13" spans="1:10" x14ac:dyDescent="0.3">
      <c r="A13" s="61" t="s">
        <v>94</v>
      </c>
      <c r="B13" s="62">
        <v>0</v>
      </c>
      <c r="C13" s="46" t="s">
        <v>106</v>
      </c>
      <c r="D13" s="43">
        <v>0</v>
      </c>
    </row>
    <row r="14" spans="1:10" x14ac:dyDescent="0.3">
      <c r="A14" s="61"/>
      <c r="B14" s="62"/>
      <c r="C14" s="46" t="s">
        <v>94</v>
      </c>
      <c r="D14" s="43">
        <v>0</v>
      </c>
    </row>
  </sheetData>
  <mergeCells count="4">
    <mergeCell ref="A1:G1"/>
    <mergeCell ref="F3:J4"/>
    <mergeCell ref="A13:A14"/>
    <mergeCell ref="B13:B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workbookViewId="0">
      <selection activeCell="H26" sqref="H26"/>
    </sheetView>
  </sheetViews>
  <sheetFormatPr defaultRowHeight="14.4" x14ac:dyDescent="0.3"/>
  <cols>
    <col min="1" max="1" width="27.21875" customWidth="1"/>
    <col min="2" max="2" width="14.21875" bestFit="1" customWidth="1"/>
    <col min="3" max="3" width="27.6640625" customWidth="1"/>
  </cols>
  <sheetData>
    <row r="1" spans="1:6" ht="15.75" customHeight="1" x14ac:dyDescent="0.3">
      <c r="A1" s="59" t="s">
        <v>107</v>
      </c>
      <c r="B1" s="56"/>
      <c r="C1" s="13"/>
    </row>
    <row r="2" spans="1:6" x14ac:dyDescent="0.3">
      <c r="A2" s="27" t="s">
        <v>84</v>
      </c>
      <c r="B2" s="42" t="s">
        <v>23</v>
      </c>
      <c r="C2" s="43" t="s">
        <v>85</v>
      </c>
      <c r="D2" s="43" t="s">
        <v>23</v>
      </c>
    </row>
    <row r="3" spans="1:6" x14ac:dyDescent="0.3">
      <c r="A3" s="27" t="s">
        <v>86</v>
      </c>
      <c r="B3" s="43"/>
      <c r="C3" s="43" t="s">
        <v>95</v>
      </c>
      <c r="D3" s="43"/>
    </row>
    <row r="4" spans="1:6" x14ac:dyDescent="0.3">
      <c r="A4" s="27" t="s">
        <v>87</v>
      </c>
      <c r="B4" s="47">
        <f>Данные!B9</f>
        <v>0</v>
      </c>
      <c r="C4" s="43" t="s">
        <v>96</v>
      </c>
      <c r="D4" s="47">
        <v>10000</v>
      </c>
      <c r="F4" t="s">
        <v>108</v>
      </c>
    </row>
    <row r="5" spans="1:6" x14ac:dyDescent="0.3">
      <c r="A5" s="27" t="s">
        <v>37</v>
      </c>
      <c r="B5" s="47">
        <f>Данные!B10</f>
        <v>100000</v>
      </c>
      <c r="C5" s="43" t="s">
        <v>97</v>
      </c>
      <c r="D5" s="47">
        <f>'Планы на будущее'!C8</f>
        <v>2924000</v>
      </c>
    </row>
    <row r="6" spans="1:6" x14ac:dyDescent="0.3">
      <c r="A6" s="27" t="s">
        <v>88</v>
      </c>
      <c r="B6" s="47">
        <f>B5+B4</f>
        <v>100000</v>
      </c>
      <c r="C6" s="43" t="s">
        <v>103</v>
      </c>
      <c r="D6" s="47">
        <f>D4+D5</f>
        <v>2934000</v>
      </c>
    </row>
    <row r="7" spans="1:6" x14ac:dyDescent="0.3">
      <c r="A7" s="27" t="s">
        <v>89</v>
      </c>
      <c r="B7" s="47"/>
      <c r="C7" s="43" t="s">
        <v>98</v>
      </c>
      <c r="D7" s="47"/>
    </row>
    <row r="8" spans="1:6" x14ac:dyDescent="0.3">
      <c r="A8" s="27" t="s">
        <v>90</v>
      </c>
      <c r="B8" s="47">
        <f>Данные!B11</f>
        <v>55000</v>
      </c>
      <c r="C8" s="46" t="s">
        <v>99</v>
      </c>
      <c r="D8" s="47">
        <f>Данные!B26</f>
        <v>672500</v>
      </c>
    </row>
    <row r="9" spans="1:6" x14ac:dyDescent="0.3">
      <c r="A9" s="27" t="s">
        <v>91</v>
      </c>
      <c r="B9" s="48">
        <f>B12-B11-B10-B8</f>
        <v>3967500</v>
      </c>
      <c r="C9" s="43" t="s">
        <v>105</v>
      </c>
      <c r="D9" s="47">
        <f>D8</f>
        <v>672500</v>
      </c>
    </row>
    <row r="10" spans="1:6" ht="27.6" x14ac:dyDescent="0.3">
      <c r="A10" s="27" t="s">
        <v>92</v>
      </c>
      <c r="B10" s="47">
        <f>Данные!B14*Данные!B13*Данные!B12</f>
        <v>960000</v>
      </c>
      <c r="C10" s="46" t="s">
        <v>100</v>
      </c>
      <c r="D10" s="47"/>
    </row>
    <row r="11" spans="1:6" x14ac:dyDescent="0.3">
      <c r="A11" s="27" t="s">
        <v>93</v>
      </c>
      <c r="B11" s="47">
        <v>0</v>
      </c>
      <c r="C11" s="46" t="s">
        <v>101</v>
      </c>
      <c r="D11" s="47">
        <f>'Планы на будущее'!C7+Данные!B12*Данные!B13*Данные!B14</f>
        <v>1476000</v>
      </c>
    </row>
    <row r="12" spans="1:6" x14ac:dyDescent="0.3">
      <c r="A12" s="27" t="s">
        <v>104</v>
      </c>
      <c r="B12" s="47">
        <f>B13-B6</f>
        <v>4982500</v>
      </c>
      <c r="C12" s="46" t="s">
        <v>102</v>
      </c>
      <c r="D12" s="47">
        <v>0</v>
      </c>
      <c r="F12" t="s">
        <v>110</v>
      </c>
    </row>
    <row r="13" spans="1:6" x14ac:dyDescent="0.3">
      <c r="A13" s="61" t="s">
        <v>94</v>
      </c>
      <c r="B13" s="63">
        <f>D14</f>
        <v>5082500</v>
      </c>
      <c r="C13" s="46" t="s">
        <v>106</v>
      </c>
      <c r="D13" s="47">
        <f>D11+D12</f>
        <v>1476000</v>
      </c>
    </row>
    <row r="14" spans="1:6" x14ac:dyDescent="0.3">
      <c r="A14" s="61"/>
      <c r="B14" s="63"/>
      <c r="C14" s="46" t="s">
        <v>94</v>
      </c>
      <c r="D14" s="47">
        <f>D13+D9+D6</f>
        <v>5082500</v>
      </c>
      <c r="F14" t="s">
        <v>109</v>
      </c>
    </row>
    <row r="15" spans="1:6" x14ac:dyDescent="0.3">
      <c r="F15" s="28"/>
    </row>
  </sheetData>
  <mergeCells count="3">
    <mergeCell ref="A1:B1"/>
    <mergeCell ref="A13:A14"/>
    <mergeCell ref="B13:B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zoomScale="85" zoomScaleNormal="85" workbookViewId="0">
      <selection activeCell="P14" sqref="P14"/>
    </sheetView>
  </sheetViews>
  <sheetFormatPr defaultRowHeight="14.4" x14ac:dyDescent="0.3"/>
  <cols>
    <col min="1" max="1" width="23.44140625" customWidth="1"/>
    <col min="2" max="2" width="11" bestFit="1" customWidth="1"/>
    <col min="3" max="3" width="12.21875" bestFit="1" customWidth="1"/>
    <col min="4" max="8" width="11.5546875" bestFit="1" customWidth="1"/>
  </cols>
  <sheetData>
    <row r="1" spans="1:8" x14ac:dyDescent="0.3">
      <c r="A1" s="57" t="s">
        <v>111</v>
      </c>
      <c r="B1" s="57"/>
      <c r="C1" s="57"/>
      <c r="D1" s="57"/>
      <c r="E1" s="57"/>
      <c r="F1" s="57"/>
      <c r="G1" s="57"/>
      <c r="H1" s="57"/>
    </row>
    <row r="2" spans="1:8" x14ac:dyDescent="0.3">
      <c r="A2" s="56" t="s">
        <v>0</v>
      </c>
      <c r="B2" s="56" t="s">
        <v>3</v>
      </c>
      <c r="C2" s="56"/>
      <c r="D2" s="56"/>
      <c r="E2" s="56"/>
      <c r="F2" s="56"/>
      <c r="G2" s="56"/>
      <c r="H2" s="56" t="s">
        <v>4</v>
      </c>
    </row>
    <row r="3" spans="1:8" x14ac:dyDescent="0.3">
      <c r="A3" s="56"/>
      <c r="B3" s="6">
        <v>0</v>
      </c>
      <c r="C3" s="6">
        <v>1</v>
      </c>
      <c r="D3" s="6">
        <v>2</v>
      </c>
      <c r="E3" s="6">
        <v>3</v>
      </c>
      <c r="F3" s="6">
        <v>4</v>
      </c>
      <c r="G3" s="6">
        <v>5</v>
      </c>
      <c r="H3" s="56"/>
    </row>
    <row r="4" spans="1:8" x14ac:dyDescent="0.3">
      <c r="A4" s="23" t="s">
        <v>10</v>
      </c>
      <c r="B4" s="49">
        <f>B5+B6</f>
        <v>0</v>
      </c>
      <c r="C4" s="49">
        <f t="shared" ref="C4:G4" si="0">C5+C6</f>
        <v>6000000</v>
      </c>
      <c r="D4" s="49">
        <f t="shared" si="0"/>
        <v>7800000</v>
      </c>
      <c r="E4" s="49">
        <f t="shared" si="0"/>
        <v>9360000</v>
      </c>
      <c r="F4" s="49">
        <f t="shared" si="0"/>
        <v>10296000</v>
      </c>
      <c r="G4" s="49">
        <f t="shared" si="0"/>
        <v>11325600</v>
      </c>
      <c r="H4" s="49">
        <f>SUM(B4:G4)</f>
        <v>44781600</v>
      </c>
    </row>
    <row r="5" spans="1:8" x14ac:dyDescent="0.3">
      <c r="A5" s="11" t="s">
        <v>15</v>
      </c>
      <c r="B5" s="50"/>
      <c r="C5" s="50">
        <f>'Планы на будущее'!C4</f>
        <v>6000000</v>
      </c>
      <c r="D5" s="50">
        <f>'Планы на будущее'!D4</f>
        <v>7800000</v>
      </c>
      <c r="E5" s="50">
        <f>'Планы на будущее'!E4</f>
        <v>9360000</v>
      </c>
      <c r="F5" s="50">
        <f>'Планы на будущее'!F4</f>
        <v>10296000</v>
      </c>
      <c r="G5" s="50">
        <f>'Планы на будущее'!G4</f>
        <v>11325600</v>
      </c>
      <c r="H5" s="49">
        <f t="shared" ref="H5:H12" si="1">SUM(B5:G5)</f>
        <v>44781600</v>
      </c>
    </row>
    <row r="6" spans="1:8" ht="27.6" x14ac:dyDescent="0.3">
      <c r="A6" s="11" t="s">
        <v>16</v>
      </c>
      <c r="B6" s="50"/>
      <c r="C6" s="50"/>
      <c r="D6" s="50"/>
      <c r="E6" s="50"/>
      <c r="F6" s="50"/>
      <c r="G6" s="50">
        <v>0</v>
      </c>
      <c r="H6" s="49">
        <f t="shared" si="1"/>
        <v>0</v>
      </c>
    </row>
    <row r="7" spans="1:8" x14ac:dyDescent="0.3">
      <c r="A7" s="23" t="s">
        <v>11</v>
      </c>
      <c r="B7" s="49">
        <f>B8+B9+B10+B11</f>
        <v>1115000</v>
      </c>
      <c r="C7" s="49">
        <f t="shared" ref="C7:G7" si="2">C8+C9+C10+C11</f>
        <v>3076000</v>
      </c>
      <c r="D7" s="49">
        <f t="shared" si="2"/>
        <v>3269200</v>
      </c>
      <c r="E7" s="49">
        <f t="shared" si="2"/>
        <v>3411040</v>
      </c>
      <c r="F7" s="49">
        <f t="shared" si="2"/>
        <v>3440848</v>
      </c>
      <c r="G7" s="49">
        <f t="shared" si="2"/>
        <v>3462577.6</v>
      </c>
      <c r="H7" s="49">
        <f t="shared" si="1"/>
        <v>17774665.600000001</v>
      </c>
    </row>
    <row r="8" spans="1:8" ht="27.6" x14ac:dyDescent="0.3">
      <c r="A8" s="11" t="s">
        <v>17</v>
      </c>
      <c r="B8" s="16">
        <f>'Затраты начальные'!H4</f>
        <v>1060000</v>
      </c>
      <c r="C8" s="16"/>
      <c r="D8" s="16"/>
      <c r="E8" s="16"/>
      <c r="F8" s="16"/>
      <c r="G8" s="16"/>
      <c r="H8" s="49">
        <f t="shared" si="1"/>
        <v>1060000</v>
      </c>
    </row>
    <row r="9" spans="1:8" ht="27.6" x14ac:dyDescent="0.3">
      <c r="A9" s="11" t="s">
        <v>18</v>
      </c>
      <c r="B9" s="16">
        <f>'Затраты начальные'!H10</f>
        <v>55000</v>
      </c>
      <c r="C9" s="16"/>
      <c r="D9" s="16"/>
      <c r="E9" s="16"/>
      <c r="F9" s="16"/>
      <c r="G9" s="16"/>
      <c r="H9" s="49">
        <f t="shared" si="1"/>
        <v>55000</v>
      </c>
    </row>
    <row r="10" spans="1:8" ht="41.4" x14ac:dyDescent="0.3">
      <c r="A10" s="11" t="s">
        <v>19</v>
      </c>
      <c r="B10" s="50"/>
      <c r="C10" s="16">
        <f>'Затраты общие'!C8</f>
        <v>2560000</v>
      </c>
      <c r="D10" s="16">
        <f>'Затраты общие'!D8</f>
        <v>2560000</v>
      </c>
      <c r="E10" s="16">
        <f>'Затраты общие'!E8</f>
        <v>2560000</v>
      </c>
      <c r="F10" s="16">
        <f>'Затраты общие'!F8</f>
        <v>2560000</v>
      </c>
      <c r="G10" s="16">
        <f>'Затраты общие'!G8</f>
        <v>2560000</v>
      </c>
      <c r="H10" s="49">
        <f t="shared" si="1"/>
        <v>12800000</v>
      </c>
    </row>
    <row r="11" spans="1:8" x14ac:dyDescent="0.3">
      <c r="A11" s="11" t="s">
        <v>20</v>
      </c>
      <c r="B11" s="50"/>
      <c r="C11" s="16">
        <f>'Планы на будущее'!C7</f>
        <v>516000</v>
      </c>
      <c r="D11" s="16">
        <f>'Планы на будущее'!D7</f>
        <v>709200</v>
      </c>
      <c r="E11" s="16">
        <f>'Планы на будущее'!E7</f>
        <v>851040</v>
      </c>
      <c r="F11" s="16">
        <f>'Планы на будущее'!F7</f>
        <v>880848</v>
      </c>
      <c r="G11" s="16">
        <f>'Планы на будущее'!G7</f>
        <v>902577.6</v>
      </c>
      <c r="H11" s="49">
        <f t="shared" si="1"/>
        <v>3859665.6</v>
      </c>
    </row>
    <row r="12" spans="1:8" ht="27.6" x14ac:dyDescent="0.3">
      <c r="A12" s="23" t="s">
        <v>12</v>
      </c>
      <c r="B12" s="49">
        <f>B4-B7</f>
        <v>-1115000</v>
      </c>
      <c r="C12" s="49">
        <f t="shared" ref="C12:G12" si="3">C4-C7</f>
        <v>2924000</v>
      </c>
      <c r="D12" s="49">
        <f t="shared" si="3"/>
        <v>4530800</v>
      </c>
      <c r="E12" s="49">
        <f t="shared" si="3"/>
        <v>5948960</v>
      </c>
      <c r="F12" s="49">
        <f t="shared" si="3"/>
        <v>6855152</v>
      </c>
      <c r="G12" s="49">
        <f t="shared" si="3"/>
        <v>7863022.4000000004</v>
      </c>
      <c r="H12" s="49">
        <f t="shared" si="1"/>
        <v>27006934.399999999</v>
      </c>
    </row>
    <row r="13" spans="1:8" x14ac:dyDescent="0.3">
      <c r="A13" s="11" t="s">
        <v>21</v>
      </c>
      <c r="B13" s="16">
        <f>B12</f>
        <v>-1115000</v>
      </c>
      <c r="C13" s="16">
        <f>B12+C12</f>
        <v>1809000</v>
      </c>
      <c r="D13" s="16">
        <f>B12+C12+D12</f>
        <v>6339800</v>
      </c>
      <c r="E13" s="16">
        <f>B12+C12+D12+E12</f>
        <v>12288760</v>
      </c>
      <c r="F13" s="16">
        <f>B12+C12+D12+E12+F12</f>
        <v>19143912</v>
      </c>
      <c r="G13" s="41">
        <f>B12+C12+D12+E12+F12+G12</f>
        <v>27006934.399999999</v>
      </c>
      <c r="H13" s="49"/>
    </row>
    <row r="14" spans="1:8" ht="41.4" x14ac:dyDescent="0.3">
      <c r="A14" s="11" t="s">
        <v>22</v>
      </c>
      <c r="B14" s="14">
        <f>1/(1+Данные!$B$5)^'План ДДС'!B3</f>
        <v>1</v>
      </c>
      <c r="C14" s="14">
        <f>1/(1+Данные!$B$5)^'План ДДС'!C3</f>
        <v>0.84745762711864414</v>
      </c>
      <c r="D14" s="14">
        <f>1/(1+Данные!$B$5)^'План ДДС'!D3</f>
        <v>0.71818442976156283</v>
      </c>
      <c r="E14" s="14">
        <f>1/(1+Данные!$B$5)^'План ДДС'!E3</f>
        <v>0.6086308726792905</v>
      </c>
      <c r="F14" s="14">
        <f>1/(1+Данные!$B$5)^'План ДДС'!F3</f>
        <v>0.51578887515194116</v>
      </c>
      <c r="G14" s="14">
        <f>1/(1+Данные!$B$5)^'План ДДС'!G3</f>
        <v>0.43710921623045873</v>
      </c>
      <c r="H14" s="24"/>
    </row>
    <row r="15" spans="1:8" ht="27.6" x14ac:dyDescent="0.3">
      <c r="A15" s="11" t="s">
        <v>13</v>
      </c>
      <c r="B15" s="16">
        <f>B12*B14</f>
        <v>-1115000</v>
      </c>
      <c r="C15" s="16">
        <f t="shared" ref="C15:G15" si="4">C12*C14</f>
        <v>2477966.1016949154</v>
      </c>
      <c r="D15" s="16">
        <f t="shared" si="4"/>
        <v>3253950.0143636889</v>
      </c>
      <c r="E15" s="16">
        <f t="shared" si="4"/>
        <v>3620720.7163341921</v>
      </c>
      <c r="F15" s="16">
        <f t="shared" si="4"/>
        <v>3535811.1390755796</v>
      </c>
      <c r="G15" s="16">
        <f t="shared" si="4"/>
        <v>3436999.5584665406</v>
      </c>
      <c r="H15" s="51">
        <f>SUM(B15:G15)</f>
        <v>15210447.529934917</v>
      </c>
    </row>
    <row r="16" spans="1:8" ht="41.4" x14ac:dyDescent="0.3">
      <c r="A16" s="11" t="s">
        <v>14</v>
      </c>
      <c r="B16" s="16">
        <f>B15</f>
        <v>-1115000</v>
      </c>
      <c r="C16" s="16">
        <f>B15+C15</f>
        <v>1362966.1016949154</v>
      </c>
      <c r="D16" s="16">
        <f>B15+C15+D15</f>
        <v>4616916.1160586048</v>
      </c>
      <c r="E16" s="16">
        <f>B15+C15+D15+E15</f>
        <v>8237636.8323927969</v>
      </c>
      <c r="F16" s="16">
        <f>B15+C15+D15+E15+F15</f>
        <v>11773447.971468376</v>
      </c>
      <c r="G16" s="41">
        <f>B15+C15+D15+E15+F15+G15</f>
        <v>15210447.529934917</v>
      </c>
      <c r="H16" s="52"/>
    </row>
  </sheetData>
  <mergeCells count="4">
    <mergeCell ref="A2:A3"/>
    <mergeCell ref="B2:G2"/>
    <mergeCell ref="H2:H3"/>
    <mergeCell ref="A1:H1"/>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r2:uid="{00000000-0003-0000-0900-000000000000}">
          <x14:colorSeries rgb="FF376092"/>
          <x14:colorNegative rgb="FFD00000"/>
          <x14:colorAxis rgb="FF000000"/>
          <x14:colorMarkers rgb="FFD00000"/>
          <x14:colorFirst rgb="FFD00000"/>
          <x14:colorLast rgb="FFD00000"/>
          <x14:colorHigh rgb="FFD00000"/>
          <x14:colorLow rgb="FFD00000"/>
          <x14:sparklines>
            <x14:sparkline>
              <xm:f>'План ДДС'!B15:G15</xm:f>
              <xm:sqref>J12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G1" sqref="G1:G3"/>
    </sheetView>
  </sheetViews>
  <sheetFormatPr defaultRowHeight="14.4" x14ac:dyDescent="0.3"/>
  <cols>
    <col min="1" max="1" width="13.44140625" customWidth="1"/>
    <col min="2" max="2" width="10.21875" customWidth="1"/>
    <col min="3" max="3" width="16.77734375" customWidth="1"/>
    <col min="4" max="4" width="17.77734375" customWidth="1"/>
    <col min="5" max="5" width="16.21875" customWidth="1"/>
    <col min="6" max="6" width="17.77734375" customWidth="1"/>
  </cols>
  <sheetData>
    <row r="1" spans="1:8" x14ac:dyDescent="0.3">
      <c r="A1" s="64" t="s">
        <v>112</v>
      </c>
      <c r="B1" s="64"/>
      <c r="C1" s="64"/>
      <c r="D1" s="64"/>
      <c r="E1" s="64"/>
      <c r="F1" s="53"/>
      <c r="G1" s="15"/>
    </row>
    <row r="2" spans="1:8" x14ac:dyDescent="0.3">
      <c r="A2" s="11"/>
      <c r="B2" s="11"/>
      <c r="C2" s="11"/>
      <c r="D2" s="11"/>
      <c r="E2" s="53"/>
      <c r="F2" s="53"/>
      <c r="G2" s="15"/>
    </row>
    <row r="3" spans="1:8" x14ac:dyDescent="0.3">
      <c r="A3" s="11"/>
      <c r="B3" s="11"/>
      <c r="C3" s="11"/>
      <c r="D3" s="11"/>
      <c r="E3" s="53"/>
      <c r="F3" s="53"/>
      <c r="G3" s="15"/>
    </row>
    <row r="4" spans="1:8" x14ac:dyDescent="0.3">
      <c r="A4" s="11"/>
      <c r="B4" s="11"/>
      <c r="C4" s="6"/>
      <c r="D4" s="6"/>
      <c r="E4" s="6"/>
      <c r="F4" s="6"/>
      <c r="G4" s="15"/>
    </row>
    <row r="5" spans="1:8" x14ac:dyDescent="0.3">
      <c r="A5" s="7"/>
      <c r="B5" s="14"/>
      <c r="C5" s="14"/>
      <c r="D5" s="14"/>
      <c r="E5" s="14"/>
      <c r="F5" s="14"/>
      <c r="G5" s="15"/>
    </row>
    <row r="6" spans="1:8" x14ac:dyDescent="0.3">
      <c r="A6" s="7"/>
      <c r="B6" s="14"/>
      <c r="C6" s="14"/>
      <c r="D6" s="14"/>
      <c r="E6" s="14"/>
      <c r="F6" s="14"/>
      <c r="G6" s="15"/>
    </row>
    <row r="7" spans="1:8" x14ac:dyDescent="0.3">
      <c r="A7" s="7"/>
      <c r="B7" s="14"/>
      <c r="C7" s="14"/>
      <c r="D7" s="14"/>
      <c r="E7" s="14"/>
      <c r="F7" s="14"/>
      <c r="G7" s="15"/>
    </row>
    <row r="8" spans="1:8" x14ac:dyDescent="0.3">
      <c r="A8" s="7"/>
      <c r="B8" s="14"/>
      <c r="C8" s="14"/>
      <c r="D8" s="14"/>
      <c r="E8" s="14"/>
      <c r="F8" s="14"/>
      <c r="G8" s="15"/>
    </row>
    <row r="9" spans="1:8" x14ac:dyDescent="0.3">
      <c r="A9" s="7"/>
      <c r="B9" s="14"/>
      <c r="C9" s="14"/>
      <c r="D9" s="14"/>
      <c r="E9" s="14"/>
      <c r="F9" s="14"/>
      <c r="G9" s="15"/>
    </row>
    <row r="10" spans="1:8" x14ac:dyDescent="0.3">
      <c r="A10" s="7"/>
      <c r="B10" s="14"/>
      <c r="C10" s="14"/>
      <c r="D10" s="14"/>
      <c r="E10" s="14"/>
      <c r="F10" s="14"/>
      <c r="G10" s="15"/>
    </row>
    <row r="11" spans="1:8" x14ac:dyDescent="0.3">
      <c r="A11" s="11"/>
      <c r="B11" s="14"/>
      <c r="C11" s="9"/>
      <c r="D11" s="14"/>
      <c r="E11" s="9"/>
      <c r="F11" s="14"/>
      <c r="G11" s="15"/>
      <c r="H11" s="25"/>
    </row>
    <row r="12" spans="1:8" x14ac:dyDescent="0.3">
      <c r="A12" s="11"/>
      <c r="B12" s="53"/>
      <c r="C12" s="53"/>
      <c r="D12" s="53"/>
      <c r="E12" s="53"/>
      <c r="F12" s="53"/>
      <c r="G12" s="11"/>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Данные</vt:lpstr>
      <vt:lpstr>Затраты начальные</vt:lpstr>
      <vt:lpstr>Планы на будущее</vt:lpstr>
      <vt:lpstr>Затраты общие</vt:lpstr>
      <vt:lpstr>Прошлые периоды</vt:lpstr>
      <vt:lpstr>Баланс прошлых периодов</vt:lpstr>
      <vt:lpstr>Прогнозный баланс</vt:lpstr>
      <vt:lpstr>План ДДС</vt:lpstr>
      <vt:lpstr>Факт ДДС</vt:lpstr>
      <vt:lpstr>Сравнительные показатели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2024-06-16T11:38:54Z</dcterms:modified>
</cp:coreProperties>
</file>