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Финансовая модель (шаблон)" sheetId="1" r:id="rId4"/>
    <sheet state="visible" name="Финансовая модель" sheetId="2" r:id="rId5"/>
    <sheet state="hidden" name="Финансовая модель (копия)" sheetId="3" r:id="rId6"/>
    <sheet state="hidden" name="Сводная таблица 1" sheetId="4" r:id="rId7"/>
    <sheet state="visible" name="Базовая стоимость" sheetId="5" r:id="rId8"/>
    <sheet state="visible" name="Целевая аудитория" sheetId="6" r:id="rId9"/>
    <sheet state="hidden" name="ROI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5">
      <text>
        <t xml:space="preserve">https://www.benefitconsult.ru/calculatorfot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5">
      <text>
        <t xml:space="preserve">https://www.benefitconsult.ru/calculatorfot
</t>
      </text>
    </comment>
  </commentList>
</comments>
</file>

<file path=xl/sharedStrings.xml><?xml version="1.0" encoding="utf-8"?>
<sst xmlns="http://schemas.openxmlformats.org/spreadsheetml/2006/main" count="167" uniqueCount="103">
  <si>
    <t>Месяцы</t>
  </si>
  <si>
    <t>Расходы единовременные</t>
  </si>
  <si>
    <t>Регистрация Юридического лица</t>
  </si>
  <si>
    <t xml:space="preserve">Покупка оборудования </t>
  </si>
  <si>
    <t>Итого, руб</t>
  </si>
  <si>
    <t>Расходы постоянные</t>
  </si>
  <si>
    <t>Tilda</t>
  </si>
  <si>
    <t xml:space="preserve">Хостинг </t>
  </si>
  <si>
    <t>ФОТ и отчисления</t>
  </si>
  <si>
    <t xml:space="preserve">Расходы переменные </t>
  </si>
  <si>
    <t xml:space="preserve">Производство </t>
  </si>
  <si>
    <t>Налоги</t>
  </si>
  <si>
    <t>Маркетинг</t>
  </si>
  <si>
    <t>Итого себестоимость, руб</t>
  </si>
  <si>
    <t>Количество продукции, шт</t>
  </si>
  <si>
    <t>Итого расход, руб</t>
  </si>
  <si>
    <t>Налог (УСН с дохода)</t>
  </si>
  <si>
    <t>Стоимость единицы, руб</t>
  </si>
  <si>
    <r>
      <rPr>
        <rFont val="Arial"/>
        <b/>
        <color theme="1"/>
      </rPr>
      <t xml:space="preserve">Доход </t>
    </r>
    <r>
      <rPr>
        <rFont val="Arial"/>
        <color theme="1"/>
      </rPr>
      <t>(стоимость единицы х количество продаж)</t>
    </r>
    <r>
      <rPr>
        <rFont val="Arial"/>
        <b/>
        <color theme="1"/>
      </rPr>
      <t xml:space="preserve">, руб </t>
    </r>
  </si>
  <si>
    <r>
      <rPr>
        <rFont val="Arial"/>
        <b/>
        <color theme="1"/>
      </rPr>
      <t>Валовая прибыль</t>
    </r>
    <r>
      <rPr>
        <rFont val="Arial"/>
        <color theme="1"/>
      </rPr>
      <t xml:space="preserve"> (доход – пер. расходы)</t>
    </r>
    <r>
      <rPr>
        <rFont val="Arial"/>
        <b/>
        <color theme="1"/>
      </rPr>
      <t>, руб</t>
    </r>
  </si>
  <si>
    <r>
      <rPr>
        <rFont val="Arial"/>
        <b/>
        <color theme="1"/>
      </rPr>
      <t>Операционная прибыль</t>
    </r>
    <r>
      <rPr>
        <rFont val="Arial"/>
        <color theme="1"/>
      </rPr>
      <t xml:space="preserve"> (вал.пр.– опер. расх.)</t>
    </r>
    <r>
      <rPr>
        <rFont val="Arial"/>
        <b/>
        <color theme="1"/>
      </rPr>
      <t>, руб</t>
    </r>
  </si>
  <si>
    <r>
      <rPr>
        <rFont val="Arial"/>
        <b/>
        <color theme="1"/>
      </rPr>
      <t>Чистая прибыль</t>
    </r>
    <r>
      <rPr>
        <rFont val="Arial"/>
        <color theme="1"/>
      </rPr>
      <t xml:space="preserve"> (опер пр. - налоги)</t>
    </r>
    <r>
      <rPr>
        <rFont val="Arial"/>
        <b/>
        <color theme="1"/>
      </rPr>
      <t>, руб</t>
    </r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</si>
  <si>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</si>
  <si>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</si>
  <si>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</si>
  <si>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</si>
  <si>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</si>
  <si>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</si>
  <si>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</si>
  <si>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</si>
  <si>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</si>
  <si>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</si>
  <si>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Январь 2026</t>
  </si>
  <si>
    <t>Февраль 2026</t>
  </si>
  <si>
    <t>Март 2026</t>
  </si>
  <si>
    <t>Апрель 2026</t>
  </si>
  <si>
    <t>Май 2026</t>
  </si>
  <si>
    <t>Июнь 2026</t>
  </si>
  <si>
    <t>Июль 2026</t>
  </si>
  <si>
    <t>Август 2026</t>
  </si>
  <si>
    <t>Сентябрь 2026</t>
  </si>
  <si>
    <t>Юридическая консультация</t>
  </si>
  <si>
    <t>Бухгалтерская консультация</t>
  </si>
  <si>
    <t>Вознаграждения open-source библиотекам</t>
  </si>
  <si>
    <t>Оплата доменов</t>
  </si>
  <si>
    <t>ФОТ</t>
  </si>
  <si>
    <t>Отчисления ФОТ</t>
  </si>
  <si>
    <t>Страховой взнос за инициатора фиксированный</t>
  </si>
  <si>
    <t>Средняя стоимость единицы, без учета налогов, выручки</t>
  </si>
  <si>
    <t>Страховой взнос за инициатора процент</t>
  </si>
  <si>
    <r>
      <rPr>
        <rFont val="Arial"/>
        <b/>
        <color theme="1"/>
      </rPr>
      <t xml:space="preserve">Доход </t>
    </r>
    <r>
      <rPr>
        <rFont val="Arial"/>
        <color theme="1"/>
      </rPr>
      <t>(стоимость единицы х количество продаж)</t>
    </r>
    <r>
      <rPr>
        <rFont val="Arial"/>
        <b/>
        <color theme="1"/>
      </rPr>
      <t xml:space="preserve">, руб </t>
    </r>
  </si>
  <si>
    <r>
      <rPr>
        <rFont val="Arial"/>
        <b/>
        <color theme="1"/>
      </rPr>
      <t>Валовая прибыль</t>
    </r>
    <r>
      <rPr>
        <rFont val="Arial"/>
        <color theme="1"/>
      </rPr>
      <t xml:space="preserve"> (доход – пер. расходы)</t>
    </r>
    <r>
      <rPr>
        <rFont val="Arial"/>
        <b/>
        <color theme="1"/>
      </rPr>
      <t>, руб</t>
    </r>
  </si>
  <si>
    <r>
      <rPr>
        <rFont val="Arial"/>
        <b/>
        <color theme="1"/>
      </rPr>
      <t>Операционная прибыль</t>
    </r>
    <r>
      <rPr>
        <rFont val="Arial"/>
        <color theme="1"/>
      </rPr>
      <t xml:space="preserve"> (вал.пр.– опер. расх.)</t>
    </r>
    <r>
      <rPr>
        <rFont val="Arial"/>
        <b/>
        <color theme="1"/>
      </rPr>
      <t>, руб</t>
    </r>
  </si>
  <si>
    <r>
      <rPr>
        <rFont val="Arial"/>
        <b/>
        <color theme="1"/>
      </rPr>
      <t>Чистая прибыль</t>
    </r>
    <r>
      <rPr>
        <rFont val="Arial"/>
        <color theme="1"/>
      </rPr>
      <t xml:space="preserve"> (опер пр. - налоги)</t>
    </r>
    <r>
      <rPr>
        <rFont val="Arial"/>
        <b/>
        <color theme="1"/>
      </rPr>
      <t>, руб</t>
    </r>
  </si>
  <si>
    <t>Накопления</t>
  </si>
  <si>
    <t>Итоговый доход</t>
  </si>
  <si>
    <t>Итоговая чистая прибыль</t>
  </si>
  <si>
    <r>
      <rPr>
        <rFont val="Arial"/>
        <b/>
        <color theme="1"/>
      </rPr>
      <t xml:space="preserve">Доход </t>
    </r>
    <r>
      <rPr>
        <rFont val="Arial"/>
        <color theme="1"/>
      </rPr>
      <t>(стоимость единицы х количество продаж)</t>
    </r>
    <r>
      <rPr>
        <rFont val="Arial"/>
        <b/>
        <color theme="1"/>
      </rPr>
      <t xml:space="preserve">, руб </t>
    </r>
  </si>
  <si>
    <r>
      <rPr>
        <rFont val="Arial"/>
        <b/>
        <color theme="1"/>
      </rPr>
      <t>Валовая прибыль</t>
    </r>
    <r>
      <rPr>
        <rFont val="Arial"/>
        <color theme="1"/>
      </rPr>
      <t xml:space="preserve"> (доход – пер. расходы)</t>
    </r>
    <r>
      <rPr>
        <rFont val="Arial"/>
        <b/>
        <color theme="1"/>
      </rPr>
      <t>, руб</t>
    </r>
  </si>
  <si>
    <r>
      <rPr>
        <rFont val="Arial"/>
        <b/>
        <color theme="1"/>
      </rPr>
      <t>Операционная прибыль</t>
    </r>
    <r>
      <rPr>
        <rFont val="Arial"/>
        <color theme="1"/>
      </rPr>
      <t xml:space="preserve"> (вал.пр.– опер. расх.)</t>
    </r>
    <r>
      <rPr>
        <rFont val="Arial"/>
        <b/>
        <color theme="1"/>
      </rPr>
      <t>, руб</t>
    </r>
  </si>
  <si>
    <r>
      <rPr>
        <rFont val="Arial"/>
        <b/>
        <color theme="1"/>
      </rPr>
      <t>Чистая прибыль</t>
    </r>
    <r>
      <rPr>
        <rFont val="Arial"/>
        <color theme="1"/>
      </rPr>
      <t xml:space="preserve"> (опер пр. - налоги)</t>
    </r>
    <r>
      <rPr>
        <rFont val="Arial"/>
        <b/>
        <color theme="1"/>
      </rPr>
      <t>, руб</t>
    </r>
  </si>
  <si>
    <t>Столбцы</t>
  </si>
  <si>
    <t>Строки</t>
  </si>
  <si>
    <t>Значения</t>
  </si>
  <si>
    <t>Себестоимость одного токена</t>
  </si>
  <si>
    <t>Процент, который хочется заработать</t>
  </si>
  <si>
    <t>Себестоимость + желаемый доход</t>
  </si>
  <si>
    <t>Налог</t>
  </si>
  <si>
    <t>Стоимость после налога</t>
  </si>
  <si>
    <t>Коммисия Платежных систем</t>
  </si>
  <si>
    <t>Финальная стоимость</t>
  </si>
  <si>
    <t>Gemini 2.5 Flash-Lite</t>
  </si>
  <si>
    <t>Gemini 2.5 Flash</t>
  </si>
  <si>
    <t>Gemini 2.5 Pro</t>
  </si>
  <si>
    <t>GPT-4.1</t>
  </si>
  <si>
    <t>YandexGPT Pro</t>
  </si>
  <si>
    <t>Токенов в группе</t>
  </si>
  <si>
    <t>Стоимость группы токенов</t>
  </si>
  <si>
    <t>Стоимость токена</t>
  </si>
  <si>
    <t>Средняя стоимость</t>
  </si>
  <si>
    <t>Добавчная стоимость за инфрастукрутуру</t>
  </si>
  <si>
    <t>Курс доллара</t>
  </si>
  <si>
    <t>Группа пользователей</t>
  </si>
  <si>
    <t>Количество пользователей в группе</t>
  </si>
  <si>
    <t>Среднее кол-во респондентов</t>
  </si>
  <si>
    <t>Количество токенов в опросе</t>
  </si>
  <si>
    <t>Количество продукции на опрос</t>
  </si>
  <si>
    <t>Среднее кол-во опросов на пользователя</t>
  </si>
  <si>
    <t>Количество продукции на группу</t>
  </si>
  <si>
    <t>Потенциальный доход на один опрос</t>
  </si>
  <si>
    <t>Потенциальный доход на всю группу</t>
  </si>
  <si>
    <t>Вероятный процент пользователей в месяц</t>
  </si>
  <si>
    <t>Вероятный доход в месяц</t>
  </si>
  <si>
    <t>Чистый доход в месяц</t>
  </si>
  <si>
    <t>Сумма налога в месяц</t>
  </si>
  <si>
    <t>Себестоимость в месяц</t>
  </si>
  <si>
    <t>Магистранты</t>
  </si>
  <si>
    <t>Социологи (русское общество)</t>
  </si>
  <si>
    <t>HR</t>
  </si>
  <si>
    <r>
      <rPr>
        <rFont val="Arial"/>
        <b/>
        <color theme="1"/>
      </rPr>
      <t>ROI</t>
    </r>
    <r>
      <rPr>
        <rFont val="Arial"/>
        <color theme="1"/>
      </rPr>
      <t xml:space="preserve"> = (Доход − объем инвестиции) : объем инвестиции х 100%</t>
    </r>
  </si>
  <si>
    <t xml:space="preserve">Доход </t>
  </si>
  <si>
    <t>Объем инвестиции</t>
  </si>
  <si>
    <t>ROI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</si>
</sst>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00000"/>
    <numFmt numFmtId="165" formatCode="#,##0.000"/>
    <numFmt numFmtId="166" formatCode="#,##0.00;(#,##0.00)"/>
  </numFmts>
  <fonts count="1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D0D0D"/>
      <name val="Ui-sans-serif"/>
    </font>
    <font>
      <color rgb="FF0D0D0D"/>
      <name val="Arial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sz val="10.0"/>
      <color rgb="FF000000"/>
      <name val="Arial"/>
    </font>
    <font>
      <sz val="10.0"/>
      <color rgb="FF0D0D0D"/>
      <name val="Arial"/>
    </font>
    <font>
      <color theme="1"/>
      <name val="Arial"/>
    </font>
    <font>
      <sz val="9.0"/>
      <color theme="1"/>
      <name val="Google Sans Mono"/>
    </font>
    <font>
      <sz val="11.0"/>
      <color rgb="FF000000"/>
      <name val="&quot;YS Text&quot;"/>
    </font>
    <font/>
  </fonts>
  <fills count="13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D5A6BD"/>
        <bgColor rgb="FFD5A6BD"/>
      </patternFill>
    </fill>
    <fill>
      <patternFill patternType="solid">
        <fgColor rgb="FF8E7CC3"/>
        <bgColor rgb="FF8E7CC3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1" numFmtId="0" xfId="0" applyAlignment="1" applyFont="1">
      <alignment horizontal="right" readingOrder="0"/>
    </xf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4" fontId="2" numFmtId="0" xfId="0" applyFont="1"/>
    <xf borderId="0" fillId="5" fontId="1" numFmtId="0" xfId="0" applyAlignment="1" applyFill="1" applyFont="1">
      <alignment readingOrder="0"/>
    </xf>
    <xf borderId="0" fillId="5" fontId="2" numFmtId="0" xfId="0" applyFont="1"/>
    <xf borderId="0" fillId="6" fontId="1" numFmtId="0" xfId="0" applyAlignment="1" applyFill="1" applyFont="1">
      <alignment readingOrder="0"/>
    </xf>
    <xf borderId="0" fillId="6" fontId="2" numFmtId="0" xfId="0" applyFont="1"/>
    <xf borderId="0" fillId="7" fontId="2" numFmtId="0" xfId="0" applyAlignment="1" applyFill="1" applyFont="1">
      <alignment readingOrder="0"/>
    </xf>
    <xf borderId="0" fillId="7" fontId="2" numFmtId="0" xfId="0" applyFont="1"/>
    <xf borderId="0" fillId="0" fontId="2" numFmtId="0" xfId="0" applyAlignment="1" applyFont="1">
      <alignment horizontal="right" readingOrder="0"/>
    </xf>
    <xf borderId="0" fillId="8" fontId="2" numFmtId="0" xfId="0" applyAlignment="1" applyFill="1" applyFont="1">
      <alignment readingOrder="0"/>
    </xf>
    <xf borderId="0" fillId="8" fontId="2" numFmtId="0" xfId="0" applyFont="1"/>
    <xf borderId="1" fillId="9" fontId="3" numFmtId="0" xfId="0" applyAlignment="1" applyBorder="1" applyFill="1" applyFont="1">
      <alignment horizontal="center" shrinkToFit="0" vertical="bottom" wrapText="1"/>
    </xf>
    <xf borderId="1" fillId="9" fontId="4" numFmtId="0" xfId="0" applyAlignment="1" applyBorder="1" applyFont="1">
      <alignment horizontal="center" shrinkToFit="0" vertical="bottom" wrapText="1"/>
    </xf>
    <xf borderId="1" fillId="9" fontId="4" numFmtId="0" xfId="0" applyAlignment="1" applyBorder="1" applyFont="1">
      <alignment horizontal="center" readingOrder="0" shrinkToFit="0" vertical="bottom" wrapText="1"/>
    </xf>
    <xf borderId="0" fillId="0" fontId="5" numFmtId="4" xfId="0" applyAlignment="1" applyFont="1" applyNumberFormat="1">
      <alignment horizontal="right" readingOrder="0" vertical="center"/>
    </xf>
    <xf borderId="0" fillId="0" fontId="5" numFmtId="4" xfId="0" applyAlignment="1" applyFont="1" applyNumberFormat="1">
      <alignment horizontal="right" vertical="center"/>
    </xf>
    <xf borderId="0" fillId="0" fontId="5" numFmtId="4" xfId="0" applyAlignment="1" applyFont="1" applyNumberFormat="1">
      <alignment horizontal="left" readingOrder="0" vertical="center"/>
    </xf>
    <xf borderId="0" fillId="0" fontId="0" numFmtId="4" xfId="0" applyAlignment="1" applyFont="1" applyNumberFormat="1">
      <alignment horizontal="right" readingOrder="0" vertical="center"/>
    </xf>
    <xf borderId="0" fillId="0" fontId="6" numFmtId="4" xfId="0" applyAlignment="1" applyFont="1" applyNumberFormat="1">
      <alignment horizontal="right" readingOrder="0" vertical="center"/>
    </xf>
    <xf borderId="2" fillId="9" fontId="7" numFmtId="4" xfId="0" applyAlignment="1" applyBorder="1" applyFont="1" applyNumberFormat="1">
      <alignment horizontal="right" readingOrder="0" vertical="center"/>
    </xf>
    <xf borderId="0" fillId="9" fontId="4" numFmtId="0" xfId="0" applyAlignment="1" applyFont="1">
      <alignment horizontal="left" readingOrder="0" shrinkToFit="0" wrapText="1"/>
    </xf>
    <xf borderId="0" fillId="9" fontId="8" numFmtId="4" xfId="0" applyAlignment="1" applyFont="1" applyNumberFormat="1">
      <alignment horizontal="right" readingOrder="0" shrinkToFit="0" vertical="center" wrapText="1"/>
    </xf>
    <xf borderId="0" fillId="0" fontId="6" numFmtId="4" xfId="0" applyAlignment="1" applyFont="1" applyNumberFormat="1">
      <alignment horizontal="right" vertical="center"/>
    </xf>
    <xf borderId="0" fillId="0" fontId="5" numFmtId="164" xfId="0" applyAlignment="1" applyFont="1" applyNumberFormat="1">
      <alignment horizontal="center" vertical="center"/>
    </xf>
    <xf borderId="0" fillId="5" fontId="6" numFmtId="4" xfId="0" applyAlignment="1" applyFont="1" applyNumberFormat="1">
      <alignment horizontal="right" readingOrder="0" vertical="center"/>
    </xf>
    <xf borderId="0" fillId="5" fontId="5" numFmtId="4" xfId="0" applyAlignment="1" applyFont="1" applyNumberFormat="1">
      <alignment horizontal="right" vertical="center"/>
    </xf>
    <xf borderId="0" fillId="6" fontId="6" numFmtId="4" xfId="0" applyAlignment="1" applyFont="1" applyNumberFormat="1">
      <alignment horizontal="right" readingOrder="0" vertical="center"/>
    </xf>
    <xf borderId="0" fillId="6" fontId="5" numFmtId="4" xfId="0" applyAlignment="1" applyFont="1" applyNumberFormat="1">
      <alignment horizontal="right" vertical="center"/>
    </xf>
    <xf borderId="0" fillId="6" fontId="5" numFmtId="165" xfId="0" applyAlignment="1" applyFont="1" applyNumberFormat="1">
      <alignment horizontal="center" readingOrder="0" vertical="center"/>
    </xf>
    <xf borderId="0" fillId="7" fontId="5" numFmtId="4" xfId="0" applyAlignment="1" applyFont="1" applyNumberFormat="1">
      <alignment horizontal="right" readingOrder="0" vertical="center"/>
    </xf>
    <xf borderId="0" fillId="7" fontId="5" numFmtId="4" xfId="0" applyAlignment="1" applyFont="1" applyNumberFormat="1">
      <alignment horizontal="right" vertical="center"/>
    </xf>
    <xf borderId="0" fillId="8" fontId="5" numFmtId="4" xfId="0" applyAlignment="1" applyFont="1" applyNumberFormat="1">
      <alignment horizontal="right" vertical="center"/>
    </xf>
    <xf borderId="0" fillId="0" fontId="2" numFmtId="0" xfId="0" applyFont="1"/>
    <xf borderId="0" fillId="0" fontId="9" numFmtId="0" xfId="0" applyAlignment="1" applyFont="1">
      <alignment readingOrder="0"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10" xfId="0" applyAlignment="1" applyFont="1" applyNumberFormat="1">
      <alignment horizontal="right" vertical="bottom"/>
    </xf>
    <xf borderId="0" fillId="10" fontId="10" numFmtId="0" xfId="0" applyAlignment="1" applyFill="1" applyFont="1">
      <alignment horizontal="right" vertical="bottom"/>
    </xf>
    <xf borderId="0" fillId="0" fontId="9" numFmtId="10" xfId="0" applyAlignment="1" applyFont="1" applyNumberFormat="1">
      <alignment horizontal="right" readingOrder="0" vertical="bottom"/>
    </xf>
    <xf borderId="0" fillId="0" fontId="2" numFmtId="166" xfId="0" applyAlignment="1" applyFont="1" applyNumberFormat="1">
      <alignment readingOrder="0"/>
    </xf>
    <xf borderId="0" fillId="9" fontId="1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3" fillId="0" fontId="2" numFmtId="0" xfId="0" applyBorder="1" applyFont="1"/>
    <xf borderId="4" fillId="0" fontId="12" numFmtId="0" xfId="0" applyBorder="1" applyFont="1"/>
    <xf borderId="5" fillId="0" fontId="12" numFmtId="0" xfId="0" applyBorder="1" applyFont="1"/>
    <xf borderId="3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readingOrder="0" shrinkToFit="0" vertical="center" wrapText="1"/>
    </xf>
    <xf borderId="0" fillId="9" fontId="9" numFmtId="0" xfId="0" applyAlignment="1" applyFont="1">
      <alignment shrinkToFit="0" vertical="bottom" wrapText="1"/>
    </xf>
    <xf borderId="0" fillId="0" fontId="9" numFmtId="0" xfId="0" applyAlignment="1" applyFont="1">
      <alignment horizontal="right" shrinkToFit="0" vertical="bottom" wrapText="1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readingOrder="0" vertical="bottom"/>
    </xf>
    <xf borderId="0" fillId="11" fontId="2" numFmtId="0" xfId="0" applyAlignment="1" applyFill="1" applyFont="1">
      <alignment readingOrder="0"/>
    </xf>
    <xf borderId="0" fillId="12" fontId="1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43.25"/>
  </cols>
  <sheetData>
    <row r="1">
      <c r="A1" s="1" t="s">
        <v>0</v>
      </c>
      <c r="B1" s="2">
        <v>2025.0</v>
      </c>
      <c r="H1" s="2">
        <v>2026.0</v>
      </c>
    </row>
    <row r="2">
      <c r="A2" s="1"/>
      <c r="B2" s="3">
        <v>7.0</v>
      </c>
      <c r="C2" s="3">
        <v>8.0</v>
      </c>
      <c r="D2" s="3">
        <v>9.0</v>
      </c>
      <c r="E2" s="3">
        <v>10.0</v>
      </c>
      <c r="F2" s="3">
        <v>11.0</v>
      </c>
      <c r="G2" s="3">
        <v>12.0</v>
      </c>
      <c r="H2" s="3">
        <v>1.0</v>
      </c>
      <c r="I2" s="3">
        <v>2.0</v>
      </c>
      <c r="J2" s="3">
        <v>3.0</v>
      </c>
      <c r="K2" s="3">
        <v>4.0</v>
      </c>
      <c r="L2" s="3">
        <v>5.0</v>
      </c>
      <c r="M2" s="3">
        <v>6.0</v>
      </c>
    </row>
    <row r="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3" t="s">
        <v>2</v>
      </c>
    </row>
    <row r="5">
      <c r="A5" s="3" t="s">
        <v>3</v>
      </c>
    </row>
    <row r="6">
      <c r="A6" s="6" t="s">
        <v>4</v>
      </c>
    </row>
    <row r="9">
      <c r="A9" s="7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3" t="s">
        <v>6</v>
      </c>
    </row>
    <row r="11">
      <c r="A11" s="3" t="s">
        <v>7</v>
      </c>
    </row>
    <row r="12">
      <c r="A12" s="3" t="s">
        <v>8</v>
      </c>
    </row>
    <row r="13">
      <c r="A13" s="3"/>
    </row>
    <row r="14">
      <c r="A14" s="6" t="s">
        <v>4</v>
      </c>
    </row>
    <row r="15">
      <c r="A15" s="9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3" t="s">
        <v>10</v>
      </c>
    </row>
    <row r="17">
      <c r="A17" s="3" t="s">
        <v>11</v>
      </c>
    </row>
    <row r="18">
      <c r="A18" s="3" t="s">
        <v>12</v>
      </c>
    </row>
    <row r="21">
      <c r="A21" s="6" t="s">
        <v>13</v>
      </c>
    </row>
    <row r="22">
      <c r="A22" s="6" t="s">
        <v>14</v>
      </c>
    </row>
    <row r="23">
      <c r="A23" s="6" t="s">
        <v>15</v>
      </c>
    </row>
    <row r="24">
      <c r="A24" s="11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5" t="s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7" t="s">
        <v>19</v>
      </c>
    </row>
    <row r="28">
      <c r="A28" s="17" t="s">
        <v>20</v>
      </c>
    </row>
    <row r="29">
      <c r="A29" s="18" t="s">
        <v>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</sheetData>
  <mergeCells count="2">
    <mergeCell ref="B1:G1"/>
    <mergeCell ref="H1:M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46.38"/>
    <col customWidth="1" min="2" max="5" width="18.5"/>
  </cols>
  <sheetData>
    <row r="1">
      <c r="A1" s="1" t="s">
        <v>0</v>
      </c>
      <c r="B1" s="1"/>
      <c r="C1" s="1"/>
      <c r="D1" s="1"/>
      <c r="E1" s="1"/>
      <c r="F1" s="2">
        <v>2025.0</v>
      </c>
      <c r="L1" s="2">
        <v>2026.0</v>
      </c>
    </row>
    <row r="2">
      <c r="A2" s="1"/>
      <c r="B2" s="20" t="s">
        <v>22</v>
      </c>
      <c r="C2" s="20" t="s">
        <v>23</v>
      </c>
      <c r="D2" s="21" t="s">
        <v>24</v>
      </c>
      <c r="E2" s="21" t="s">
        <v>25</v>
      </c>
      <c r="F2" s="21" t="s">
        <v>26</v>
      </c>
      <c r="G2" s="21" t="s">
        <v>27</v>
      </c>
      <c r="H2" s="21" t="s">
        <v>28</v>
      </c>
      <c r="I2" s="21" t="s">
        <v>29</v>
      </c>
      <c r="J2" s="21" t="s">
        <v>30</v>
      </c>
      <c r="K2" s="21" t="s">
        <v>31</v>
      </c>
      <c r="L2" s="21" t="s">
        <v>32</v>
      </c>
      <c r="M2" s="21" t="s">
        <v>33</v>
      </c>
      <c r="N2" s="20" t="s">
        <v>34</v>
      </c>
      <c r="O2" s="20" t="s">
        <v>35</v>
      </c>
      <c r="P2" s="21" t="s">
        <v>36</v>
      </c>
      <c r="Q2" s="21" t="s">
        <v>37</v>
      </c>
      <c r="R2" s="22" t="s">
        <v>38</v>
      </c>
      <c r="S2" s="22" t="s">
        <v>39</v>
      </c>
      <c r="T2" s="22" t="s">
        <v>40</v>
      </c>
    </row>
    <row r="3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>
      <c r="A4" s="3" t="s">
        <v>2</v>
      </c>
      <c r="B4" s="23"/>
      <c r="C4" s="23"/>
      <c r="D4" s="23"/>
      <c r="E4" s="23"/>
      <c r="F4" s="24"/>
      <c r="G4" s="24"/>
      <c r="H4" s="23">
        <v>800.0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>
      <c r="A5" s="3" t="s">
        <v>41</v>
      </c>
      <c r="B5" s="23"/>
      <c r="D5" s="23"/>
      <c r="E5" s="23"/>
      <c r="F5" s="24"/>
      <c r="G5" s="23">
        <v>5000.0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>
      <c r="A6" s="25" t="s">
        <v>42</v>
      </c>
      <c r="C6" s="23"/>
      <c r="D6" s="23"/>
      <c r="E6" s="23"/>
      <c r="F6" s="24"/>
      <c r="G6" s="23">
        <v>5000.0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>
      <c r="A7" s="3" t="s">
        <v>43</v>
      </c>
      <c r="B7" s="23"/>
      <c r="C7" s="23"/>
      <c r="D7" s="23"/>
      <c r="E7" s="24"/>
      <c r="F7" s="26">
        <v>2340.0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>
      <c r="A8" s="6" t="s">
        <v>4</v>
      </c>
      <c r="B8" s="27">
        <f t="shared" ref="B8:T8" si="1">SUM(B4:B7)</f>
        <v>0</v>
      </c>
      <c r="C8" s="27">
        <f t="shared" si="1"/>
        <v>0</v>
      </c>
      <c r="D8" s="27">
        <f t="shared" si="1"/>
        <v>0</v>
      </c>
      <c r="E8" s="27">
        <f t="shared" si="1"/>
        <v>0</v>
      </c>
      <c r="F8" s="27">
        <f t="shared" si="1"/>
        <v>2340</v>
      </c>
      <c r="G8" s="27">
        <f t="shared" si="1"/>
        <v>10000</v>
      </c>
      <c r="H8" s="27">
        <f t="shared" si="1"/>
        <v>800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</row>
    <row r="11">
      <c r="A11" s="7" t="s">
        <v>5</v>
      </c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>
      <c r="A12" s="3" t="s">
        <v>44</v>
      </c>
      <c r="B12" s="23"/>
      <c r="C12" s="23"/>
      <c r="D12" s="23"/>
      <c r="E12" s="24"/>
      <c r="F12" s="23">
        <v>1872.0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>
      <c r="A13" s="3" t="s">
        <v>6</v>
      </c>
      <c r="B13" s="23"/>
      <c r="C13" s="23"/>
      <c r="D13" s="23"/>
      <c r="E13" s="28">
        <v>1230.0</v>
      </c>
      <c r="F13" s="28">
        <v>7230.0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>
      <c r="A14" s="3" t="s">
        <v>7</v>
      </c>
      <c r="B14" s="23">
        <v>2700.0</v>
      </c>
      <c r="C14" s="23">
        <v>7800.0</v>
      </c>
      <c r="D14" s="23">
        <v>8100.0</v>
      </c>
      <c r="E14" s="23">
        <f>7800+1140</f>
        <v>8940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>
      <c r="A15" s="3" t="s">
        <v>45</v>
      </c>
      <c r="B15" s="23"/>
      <c r="C15" s="23"/>
      <c r="D15" s="23"/>
      <c r="E15" s="23"/>
      <c r="F15" s="24"/>
      <c r="G15" s="24"/>
      <c r="H15" s="23">
        <v>40000.0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>
      <c r="A16" s="29" t="s">
        <v>46</v>
      </c>
      <c r="B16" s="30"/>
      <c r="C16" s="30"/>
      <c r="D16" s="30"/>
      <c r="E16" s="30"/>
      <c r="F16" s="24"/>
      <c r="G16" s="24"/>
      <c r="H16" s="23">
        <v>19862.1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>
      <c r="A17" s="29" t="s">
        <v>47</v>
      </c>
      <c r="B17" s="30"/>
      <c r="C17" s="30"/>
      <c r="D17" s="30"/>
      <c r="E17" s="30"/>
      <c r="F17" s="24"/>
      <c r="G17" s="24"/>
      <c r="H17" s="26">
        <v>53658.0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>
      <c r="A18" s="6" t="s">
        <v>4</v>
      </c>
      <c r="B18" s="31">
        <f t="shared" ref="B18:T18" si="2">SUM(B12:B17)</f>
        <v>2700</v>
      </c>
      <c r="C18" s="31">
        <f t="shared" si="2"/>
        <v>7800</v>
      </c>
      <c r="D18" s="31">
        <f t="shared" si="2"/>
        <v>8100</v>
      </c>
      <c r="E18" s="31">
        <f t="shared" si="2"/>
        <v>10170</v>
      </c>
      <c r="F18" s="31">
        <f t="shared" si="2"/>
        <v>9102</v>
      </c>
      <c r="G18" s="31">
        <f t="shared" si="2"/>
        <v>0</v>
      </c>
      <c r="H18" s="31">
        <f t="shared" si="2"/>
        <v>113520.1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31">
        <f t="shared" si="2"/>
        <v>0</v>
      </c>
      <c r="P18" s="31">
        <f t="shared" si="2"/>
        <v>0</v>
      </c>
      <c r="Q18" s="31">
        <f t="shared" si="2"/>
        <v>0</v>
      </c>
      <c r="R18" s="31">
        <f t="shared" si="2"/>
        <v>0</v>
      </c>
      <c r="S18" s="31">
        <f t="shared" si="2"/>
        <v>0</v>
      </c>
      <c r="T18" s="31">
        <f t="shared" si="2"/>
        <v>0</v>
      </c>
    </row>
    <row r="19">
      <c r="A19" s="6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>
      <c r="A20" s="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>
      <c r="A21" s="9" t="s">
        <v>9</v>
      </c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3" t="s">
        <v>48</v>
      </c>
      <c r="B22" s="23"/>
      <c r="C22" s="23"/>
      <c r="D22" s="23"/>
      <c r="E22" s="23"/>
      <c r="F22" s="24"/>
      <c r="G22" s="24"/>
      <c r="H22" s="32">
        <f>'Базовая стоимость'!A2</f>
        <v>0.00085988</v>
      </c>
    </row>
    <row r="23">
      <c r="A23" s="29" t="s">
        <v>49</v>
      </c>
      <c r="B23" s="30"/>
      <c r="C23" s="30"/>
      <c r="D23" s="30"/>
      <c r="E23" s="30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>
        <f>MAX((B40-300000)*0.01,0)/12</f>
        <v>12082.40032</v>
      </c>
      <c r="T23" s="24"/>
    </row>
    <row r="24">
      <c r="A24" s="3" t="s">
        <v>11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>
      <c r="A25" s="3" t="s">
        <v>12</v>
      </c>
      <c r="B25" s="23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>
      <c r="A28" s="6" t="s">
        <v>13</v>
      </c>
      <c r="B28" s="27"/>
      <c r="C28" s="27"/>
      <c r="D28" s="27"/>
      <c r="E28" s="27"/>
      <c r="F28" s="24"/>
      <c r="G28" s="24"/>
      <c r="H28" s="24">
        <f t="shared" ref="H28:T28" si="3">H29*$H$22</f>
        <v>68790.4</v>
      </c>
      <c r="I28" s="24">
        <f t="shared" si="3"/>
        <v>137580.8</v>
      </c>
      <c r="J28" s="24">
        <f t="shared" si="3"/>
        <v>206371.2</v>
      </c>
      <c r="K28" s="24">
        <f t="shared" si="3"/>
        <v>275161.6</v>
      </c>
      <c r="L28" s="24">
        <f t="shared" si="3"/>
        <v>343952</v>
      </c>
      <c r="M28" s="24">
        <f t="shared" si="3"/>
        <v>412742.4</v>
      </c>
      <c r="N28" s="24">
        <f t="shared" si="3"/>
        <v>481532.8</v>
      </c>
      <c r="O28" s="24">
        <f t="shared" si="3"/>
        <v>550323.2</v>
      </c>
      <c r="P28" s="24">
        <f t="shared" si="3"/>
        <v>619113.6</v>
      </c>
      <c r="Q28" s="24">
        <f t="shared" si="3"/>
        <v>687904</v>
      </c>
      <c r="R28" s="24">
        <f t="shared" si="3"/>
        <v>756694.4</v>
      </c>
      <c r="S28" s="24">
        <f t="shared" si="3"/>
        <v>825484.8</v>
      </c>
      <c r="T28" s="24">
        <f t="shared" si="3"/>
        <v>894275.2</v>
      </c>
    </row>
    <row r="29">
      <c r="A29" s="6" t="s">
        <v>14</v>
      </c>
      <c r="B29" s="27"/>
      <c r="C29" s="27"/>
      <c r="D29" s="27"/>
      <c r="E29" s="27"/>
      <c r="F29" s="24"/>
      <c r="G29" s="24"/>
      <c r="H29" s="24">
        <f>'Целевая аудитория'!$G$3/100*H52</f>
        <v>80000000</v>
      </c>
      <c r="I29" s="24">
        <f>'Целевая аудитория'!$G$3/100*I52</f>
        <v>160000000</v>
      </c>
      <c r="J29" s="24">
        <f>'Целевая аудитория'!$G$3/100*J52</f>
        <v>240000000</v>
      </c>
      <c r="K29" s="24">
        <f>'Целевая аудитория'!$G$3/100*K52</f>
        <v>320000000</v>
      </c>
      <c r="L29" s="24">
        <f>'Целевая аудитория'!$G$3/100*L52</f>
        <v>400000000</v>
      </c>
      <c r="M29" s="24">
        <f>'Целевая аудитория'!$G$3/100*M52</f>
        <v>480000000</v>
      </c>
      <c r="N29" s="24">
        <f>'Целевая аудитория'!$G$3/100*N52</f>
        <v>560000000</v>
      </c>
      <c r="O29" s="24">
        <f>'Целевая аудитория'!$G$3/100*O52</f>
        <v>640000000</v>
      </c>
      <c r="P29" s="24">
        <f>'Целевая аудитория'!$G$3/100*P52</f>
        <v>720000000</v>
      </c>
      <c r="Q29" s="24">
        <f>'Целевая аудитория'!$G$3/100*Q52</f>
        <v>800000000</v>
      </c>
      <c r="R29" s="24">
        <f>'Целевая аудитория'!$G$3/100*R52</f>
        <v>880000000</v>
      </c>
      <c r="S29" s="24">
        <f>'Целевая аудитория'!$G$3/100*S52</f>
        <v>960000000</v>
      </c>
      <c r="T29" s="24">
        <f>'Целевая аудитория'!$G$3/100*T52</f>
        <v>1040000000</v>
      </c>
    </row>
    <row r="30">
      <c r="A30" s="6" t="s">
        <v>15</v>
      </c>
      <c r="B30" s="27"/>
      <c r="C30" s="27"/>
      <c r="D30" s="27"/>
      <c r="E30" s="27"/>
      <c r="F30" s="24"/>
      <c r="G30" s="24"/>
      <c r="H30" s="24">
        <f t="shared" ref="H30:T30" si="4">SUM(H23:H28)</f>
        <v>68790.4</v>
      </c>
      <c r="I30" s="24">
        <f t="shared" si="4"/>
        <v>137580.8</v>
      </c>
      <c r="J30" s="24">
        <f t="shared" si="4"/>
        <v>206371.2</v>
      </c>
      <c r="K30" s="24">
        <f t="shared" si="4"/>
        <v>275161.6</v>
      </c>
      <c r="L30" s="24">
        <f t="shared" si="4"/>
        <v>343952</v>
      </c>
      <c r="M30" s="24">
        <f t="shared" si="4"/>
        <v>412742.4</v>
      </c>
      <c r="N30" s="24">
        <f t="shared" si="4"/>
        <v>481532.8</v>
      </c>
      <c r="O30" s="24">
        <f t="shared" si="4"/>
        <v>550323.2</v>
      </c>
      <c r="P30" s="24">
        <f t="shared" si="4"/>
        <v>619113.6</v>
      </c>
      <c r="Q30" s="24">
        <f t="shared" si="4"/>
        <v>687904</v>
      </c>
      <c r="R30" s="24">
        <f t="shared" si="4"/>
        <v>756694.4</v>
      </c>
      <c r="S30" s="24">
        <f t="shared" si="4"/>
        <v>837567.2003</v>
      </c>
      <c r="T30" s="24">
        <f t="shared" si="4"/>
        <v>894275.2</v>
      </c>
    </row>
    <row r="31">
      <c r="A31" s="6"/>
      <c r="B31" s="27"/>
      <c r="C31" s="27"/>
      <c r="D31" s="27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>
      <c r="A32" s="6"/>
      <c r="B32" s="27"/>
      <c r="C32" s="27"/>
      <c r="D32" s="27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>
      <c r="A33" s="11" t="s">
        <v>16</v>
      </c>
      <c r="B33" s="33"/>
      <c r="C33" s="33"/>
      <c r="D33" s="33"/>
      <c r="E33" s="33"/>
      <c r="F33" s="34"/>
      <c r="G33" s="34"/>
      <c r="H33" s="34">
        <f>'Базовая стоимость'!$E$3*H29</f>
        <v>8781.753191</v>
      </c>
      <c r="I33" s="34">
        <f>'Базовая стоимость'!$E$3*I29</f>
        <v>17563.50638</v>
      </c>
      <c r="J33" s="34">
        <f>'Базовая стоимость'!$E$3*J29</f>
        <v>26345.25957</v>
      </c>
      <c r="K33" s="34">
        <f>'Базовая стоимость'!$E$3*K29</f>
        <v>35127.01277</v>
      </c>
      <c r="L33" s="34">
        <f>'Базовая стоимость'!$E$3*L29</f>
        <v>43908.76596</v>
      </c>
      <c r="M33" s="34">
        <f>'Базовая стоимость'!$E$3*M29</f>
        <v>52690.51915</v>
      </c>
      <c r="N33" s="34">
        <f>'Базовая стоимость'!$E$3*N29</f>
        <v>61472.27234</v>
      </c>
      <c r="O33" s="34">
        <f>'Базовая стоимость'!$E$3*O29</f>
        <v>70254.02553</v>
      </c>
      <c r="P33" s="34">
        <f>'Базовая стоимость'!$E$3*P29</f>
        <v>79035.77872</v>
      </c>
      <c r="Q33" s="34">
        <f>'Базовая стоимость'!$E$3*Q29</f>
        <v>87817.53191</v>
      </c>
      <c r="R33" s="34">
        <f>'Базовая стоимость'!$E$3*R29</f>
        <v>96599.28511</v>
      </c>
      <c r="S33" s="34">
        <f>'Базовая стоимость'!$E$3*S29</f>
        <v>105381.0383</v>
      </c>
      <c r="T33" s="34">
        <f>'Базовая стоимость'!$E$3*T29</f>
        <v>114162.7915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3" t="s">
        <v>17</v>
      </c>
      <c r="B34" s="35"/>
      <c r="C34" s="35"/>
      <c r="D34" s="35"/>
      <c r="E34" s="35"/>
      <c r="F34" s="36"/>
      <c r="G34" s="36"/>
      <c r="H34" s="37">
        <f>'Базовая стоимость'!$H$2</f>
        <v>0.002032813239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>
      <c r="A35" s="15" t="s">
        <v>50</v>
      </c>
      <c r="B35" s="38"/>
      <c r="C35" s="38"/>
      <c r="D35" s="38"/>
      <c r="E35" s="38"/>
      <c r="F35" s="39"/>
      <c r="G35" s="39"/>
      <c r="H35" s="39">
        <f t="shared" ref="H35:T35" si="5">$H$34*H29</f>
        <v>162625.0591</v>
      </c>
      <c r="I35" s="39">
        <f t="shared" si="5"/>
        <v>325250.1182</v>
      </c>
      <c r="J35" s="39">
        <f t="shared" si="5"/>
        <v>487875.1773</v>
      </c>
      <c r="K35" s="39">
        <f t="shared" si="5"/>
        <v>650500.2364</v>
      </c>
      <c r="L35" s="39">
        <f t="shared" si="5"/>
        <v>813125.2955</v>
      </c>
      <c r="M35" s="39">
        <f t="shared" si="5"/>
        <v>975750.3546</v>
      </c>
      <c r="N35" s="39">
        <f t="shared" si="5"/>
        <v>1138375.414</v>
      </c>
      <c r="O35" s="39">
        <f t="shared" si="5"/>
        <v>1301000.473</v>
      </c>
      <c r="P35" s="39">
        <f t="shared" si="5"/>
        <v>1463625.532</v>
      </c>
      <c r="Q35" s="39">
        <f t="shared" si="5"/>
        <v>1626250.591</v>
      </c>
      <c r="R35" s="39">
        <f t="shared" si="5"/>
        <v>1788875.65</v>
      </c>
      <c r="S35" s="39">
        <f t="shared" si="5"/>
        <v>1951500.709</v>
      </c>
      <c r="T35" s="39">
        <f t="shared" si="5"/>
        <v>2114125.768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>
      <c r="A36" s="17" t="s">
        <v>51</v>
      </c>
      <c r="B36" s="24">
        <f t="shared" ref="B36:T36" si="6">B35-B30</f>
        <v>0</v>
      </c>
      <c r="C36" s="24">
        <f t="shared" si="6"/>
        <v>0</v>
      </c>
      <c r="D36" s="24">
        <f t="shared" si="6"/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93834.6591</v>
      </c>
      <c r="I36" s="24">
        <f t="shared" si="6"/>
        <v>187669.3182</v>
      </c>
      <c r="J36" s="24">
        <f t="shared" si="6"/>
        <v>281503.9773</v>
      </c>
      <c r="K36" s="24">
        <f t="shared" si="6"/>
        <v>375338.6364</v>
      </c>
      <c r="L36" s="24">
        <f t="shared" si="6"/>
        <v>469173.2955</v>
      </c>
      <c r="M36" s="24">
        <f t="shared" si="6"/>
        <v>563007.9546</v>
      </c>
      <c r="N36" s="24">
        <f t="shared" si="6"/>
        <v>656842.6137</v>
      </c>
      <c r="O36" s="24">
        <f t="shared" si="6"/>
        <v>750677.2728</v>
      </c>
      <c r="P36" s="24">
        <f t="shared" si="6"/>
        <v>844511.9319</v>
      </c>
      <c r="Q36" s="24">
        <f t="shared" si="6"/>
        <v>938346.591</v>
      </c>
      <c r="R36" s="24">
        <f t="shared" si="6"/>
        <v>1032181.25</v>
      </c>
      <c r="S36" s="24">
        <f t="shared" si="6"/>
        <v>1113933.509</v>
      </c>
      <c r="T36" s="24">
        <f t="shared" si="6"/>
        <v>1219850.568</v>
      </c>
    </row>
    <row r="37">
      <c r="A37" s="17" t="s">
        <v>52</v>
      </c>
      <c r="B37" s="24">
        <f t="shared" ref="B37:T37" si="7">B36-B18</f>
        <v>-2700</v>
      </c>
      <c r="C37" s="24">
        <f t="shared" si="7"/>
        <v>-7800</v>
      </c>
      <c r="D37" s="24">
        <f t="shared" si="7"/>
        <v>-8100</v>
      </c>
      <c r="E37" s="24">
        <f t="shared" si="7"/>
        <v>-10170</v>
      </c>
      <c r="F37" s="24">
        <f t="shared" si="7"/>
        <v>-9102</v>
      </c>
      <c r="G37" s="24">
        <f t="shared" si="7"/>
        <v>0</v>
      </c>
      <c r="H37" s="24">
        <f t="shared" si="7"/>
        <v>-19685.4409</v>
      </c>
      <c r="I37" s="24">
        <f t="shared" si="7"/>
        <v>187669.3182</v>
      </c>
      <c r="J37" s="24">
        <f t="shared" si="7"/>
        <v>281503.9773</v>
      </c>
      <c r="K37" s="24">
        <f t="shared" si="7"/>
        <v>375338.6364</v>
      </c>
      <c r="L37" s="24">
        <f t="shared" si="7"/>
        <v>469173.2955</v>
      </c>
      <c r="M37" s="24">
        <f t="shared" si="7"/>
        <v>563007.9546</v>
      </c>
      <c r="N37" s="24">
        <f t="shared" si="7"/>
        <v>656842.6137</v>
      </c>
      <c r="O37" s="24">
        <f t="shared" si="7"/>
        <v>750677.2728</v>
      </c>
      <c r="P37" s="24">
        <f t="shared" si="7"/>
        <v>844511.9319</v>
      </c>
      <c r="Q37" s="24">
        <f t="shared" si="7"/>
        <v>938346.591</v>
      </c>
      <c r="R37" s="24">
        <f t="shared" si="7"/>
        <v>1032181.25</v>
      </c>
      <c r="S37" s="24">
        <f t="shared" si="7"/>
        <v>1113933.509</v>
      </c>
      <c r="T37" s="24">
        <f t="shared" si="7"/>
        <v>1219850.568</v>
      </c>
    </row>
    <row r="38">
      <c r="A38" s="18" t="s">
        <v>53</v>
      </c>
      <c r="B38" s="40">
        <f t="shared" ref="B38:T38" si="8">B37-B33-B8</f>
        <v>-2700</v>
      </c>
      <c r="C38" s="40">
        <f t="shared" si="8"/>
        <v>-7800</v>
      </c>
      <c r="D38" s="40">
        <f t="shared" si="8"/>
        <v>-8100</v>
      </c>
      <c r="E38" s="40">
        <f t="shared" si="8"/>
        <v>-10170</v>
      </c>
      <c r="F38" s="40">
        <f t="shared" si="8"/>
        <v>-11442</v>
      </c>
      <c r="G38" s="40">
        <f t="shared" si="8"/>
        <v>-10000</v>
      </c>
      <c r="H38" s="40">
        <f t="shared" si="8"/>
        <v>-29267.19409</v>
      </c>
      <c r="I38" s="40">
        <f t="shared" si="8"/>
        <v>170105.8118</v>
      </c>
      <c r="J38" s="40">
        <f t="shared" si="8"/>
        <v>255158.7177</v>
      </c>
      <c r="K38" s="40">
        <f t="shared" si="8"/>
        <v>340211.6236</v>
      </c>
      <c r="L38" s="40">
        <f t="shared" si="8"/>
        <v>425264.5296</v>
      </c>
      <c r="M38" s="40">
        <f t="shared" si="8"/>
        <v>510317.4355</v>
      </c>
      <c r="N38" s="40">
        <f t="shared" si="8"/>
        <v>595370.3414</v>
      </c>
      <c r="O38" s="40">
        <f t="shared" si="8"/>
        <v>680423.2473</v>
      </c>
      <c r="P38" s="40">
        <f t="shared" si="8"/>
        <v>765476.1532</v>
      </c>
      <c r="Q38" s="40">
        <f t="shared" si="8"/>
        <v>850529.0591</v>
      </c>
      <c r="R38" s="40">
        <f t="shared" si="8"/>
        <v>935581.965</v>
      </c>
      <c r="S38" s="40">
        <f t="shared" si="8"/>
        <v>1008552.471</v>
      </c>
      <c r="T38" s="40">
        <f t="shared" si="8"/>
        <v>1105687.777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>
      <c r="A39" s="3" t="s">
        <v>54</v>
      </c>
      <c r="B39" s="24">
        <f>B38</f>
        <v>-2700</v>
      </c>
      <c r="C39" s="24">
        <f t="shared" ref="C39:T39" si="9">C38+B39</f>
        <v>-10500</v>
      </c>
      <c r="D39" s="24">
        <f t="shared" si="9"/>
        <v>-18600</v>
      </c>
      <c r="E39" s="24">
        <f t="shared" si="9"/>
        <v>-28770</v>
      </c>
      <c r="F39" s="24">
        <f t="shared" si="9"/>
        <v>-40212</v>
      </c>
      <c r="G39" s="24">
        <f t="shared" si="9"/>
        <v>-50212</v>
      </c>
      <c r="H39" s="24">
        <f t="shared" si="9"/>
        <v>-79479.19409</v>
      </c>
      <c r="I39" s="24">
        <f t="shared" si="9"/>
        <v>90626.61773</v>
      </c>
      <c r="J39" s="24">
        <f t="shared" si="9"/>
        <v>345785.3355</v>
      </c>
      <c r="K39" s="24">
        <f t="shared" si="9"/>
        <v>685996.9591</v>
      </c>
      <c r="L39" s="24">
        <f t="shared" si="9"/>
        <v>1111261.489</v>
      </c>
      <c r="M39" s="24">
        <f t="shared" si="9"/>
        <v>1621578.924</v>
      </c>
      <c r="N39" s="24">
        <f t="shared" si="9"/>
        <v>2216949.265</v>
      </c>
      <c r="O39" s="24">
        <f t="shared" si="9"/>
        <v>2897372.513</v>
      </c>
      <c r="P39" s="24">
        <f t="shared" si="9"/>
        <v>3662848.666</v>
      </c>
      <c r="Q39" s="24">
        <f t="shared" si="9"/>
        <v>4513377.725</v>
      </c>
      <c r="R39" s="24">
        <f t="shared" si="9"/>
        <v>5448959.69</v>
      </c>
      <c r="S39" s="24">
        <f t="shared" si="9"/>
        <v>6457512.161</v>
      </c>
      <c r="T39" s="24">
        <f t="shared" si="9"/>
        <v>7563199.938</v>
      </c>
    </row>
    <row r="40">
      <c r="A40" s="3" t="s">
        <v>55</v>
      </c>
      <c r="B40" s="24">
        <f>SUM(35:35)</f>
        <v>14798880.38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>
      <c r="A41" s="3" t="s">
        <v>56</v>
      </c>
      <c r="B41" s="24">
        <f>SUM(38:38)</f>
        <v>7563199.938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52" hidden="1">
      <c r="H52" s="3">
        <v>1.0</v>
      </c>
      <c r="I52" s="3">
        <v>2.0</v>
      </c>
      <c r="J52" s="3">
        <v>3.0</v>
      </c>
      <c r="K52" s="3">
        <v>4.0</v>
      </c>
      <c r="L52" s="3">
        <v>5.0</v>
      </c>
      <c r="M52" s="3">
        <v>6.0</v>
      </c>
      <c r="N52" s="3">
        <v>7.0</v>
      </c>
      <c r="O52" s="3">
        <v>8.0</v>
      </c>
      <c r="P52" s="3">
        <v>9.0</v>
      </c>
      <c r="Q52" s="3">
        <v>10.0</v>
      </c>
      <c r="R52" s="3">
        <v>11.0</v>
      </c>
      <c r="S52" s="3">
        <v>12.0</v>
      </c>
      <c r="T52" s="3">
        <v>13.0</v>
      </c>
    </row>
  </sheetData>
  <mergeCells count="4">
    <mergeCell ref="F1:K1"/>
    <mergeCell ref="L1:Q1"/>
    <mergeCell ref="H22:T22"/>
    <mergeCell ref="H34:T34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cols>
    <col customWidth="1" min="1" max="1" width="46.38"/>
    <col customWidth="1" min="2" max="5" width="18.5"/>
  </cols>
  <sheetData>
    <row r="1">
      <c r="A1" s="1" t="s">
        <v>0</v>
      </c>
      <c r="B1" s="1"/>
      <c r="C1" s="1"/>
      <c r="D1" s="1"/>
      <c r="E1" s="1"/>
      <c r="F1" s="2">
        <v>2025.0</v>
      </c>
      <c r="L1" s="2">
        <v>2026.0</v>
      </c>
    </row>
    <row r="2">
      <c r="A2" s="1"/>
      <c r="B2" s="20" t="s">
        <v>22</v>
      </c>
      <c r="C2" s="20" t="s">
        <v>23</v>
      </c>
      <c r="D2" s="21" t="s">
        <v>24</v>
      </c>
      <c r="E2" s="21" t="s">
        <v>25</v>
      </c>
      <c r="F2" s="21" t="s">
        <v>26</v>
      </c>
      <c r="G2" s="21" t="s">
        <v>27</v>
      </c>
      <c r="H2" s="21" t="s">
        <v>28</v>
      </c>
      <c r="I2" s="21" t="s">
        <v>29</v>
      </c>
      <c r="J2" s="21" t="s">
        <v>30</v>
      </c>
      <c r="K2" s="21" t="s">
        <v>31</v>
      </c>
      <c r="L2" s="21" t="s">
        <v>32</v>
      </c>
      <c r="M2" s="21" t="s">
        <v>33</v>
      </c>
      <c r="N2" s="20" t="s">
        <v>34</v>
      </c>
      <c r="O2" s="20" t="s">
        <v>35</v>
      </c>
      <c r="P2" s="21" t="s">
        <v>36</v>
      </c>
      <c r="Q2" s="21" t="s">
        <v>37</v>
      </c>
      <c r="R2" s="22" t="s">
        <v>38</v>
      </c>
      <c r="S2" s="22" t="s">
        <v>39</v>
      </c>
      <c r="T2" s="22" t="s">
        <v>40</v>
      </c>
    </row>
    <row r="3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>
      <c r="A4" s="3" t="s">
        <v>2</v>
      </c>
      <c r="B4" s="23"/>
      <c r="C4" s="23"/>
      <c r="D4" s="23"/>
      <c r="E4" s="23"/>
      <c r="F4" s="24"/>
      <c r="G4" s="24"/>
      <c r="H4" s="23">
        <v>800.0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>
      <c r="A5" s="3" t="s">
        <v>41</v>
      </c>
      <c r="B5" s="23"/>
      <c r="D5" s="23"/>
      <c r="E5" s="23"/>
      <c r="F5" s="24"/>
      <c r="G5" s="23">
        <v>5000.0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>
      <c r="A6" s="25" t="s">
        <v>42</v>
      </c>
      <c r="C6" s="23"/>
      <c r="D6" s="23"/>
      <c r="E6" s="23"/>
      <c r="F6" s="24"/>
      <c r="G6" s="23">
        <v>5000.0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>
      <c r="A7" s="3" t="s">
        <v>43</v>
      </c>
      <c r="B7" s="23"/>
      <c r="C7" s="23"/>
      <c r="D7" s="23"/>
      <c r="E7" s="24"/>
      <c r="F7" s="26">
        <v>2340.0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>
      <c r="A8" s="6" t="s">
        <v>4</v>
      </c>
      <c r="B8" s="27">
        <f t="shared" ref="B8:T8" si="1">SUM(B4:B7)</f>
        <v>0</v>
      </c>
      <c r="C8" s="27">
        <f t="shared" si="1"/>
        <v>0</v>
      </c>
      <c r="D8" s="27">
        <f t="shared" si="1"/>
        <v>0</v>
      </c>
      <c r="E8" s="27">
        <f t="shared" si="1"/>
        <v>0</v>
      </c>
      <c r="F8" s="27">
        <f t="shared" si="1"/>
        <v>2340</v>
      </c>
      <c r="G8" s="27">
        <f t="shared" si="1"/>
        <v>10000</v>
      </c>
      <c r="H8" s="27">
        <f t="shared" si="1"/>
        <v>800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</row>
    <row r="11">
      <c r="A11" s="7" t="s">
        <v>5</v>
      </c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>
      <c r="A12" s="3" t="s">
        <v>44</v>
      </c>
      <c r="B12" s="23"/>
      <c r="C12" s="23"/>
      <c r="D12" s="23"/>
      <c r="E12" s="24"/>
      <c r="F12" s="23">
        <v>1872.0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>
      <c r="A13" s="3" t="s">
        <v>6</v>
      </c>
      <c r="B13" s="23"/>
      <c r="C13" s="23"/>
      <c r="D13" s="23"/>
      <c r="E13" s="28">
        <v>1230.0</v>
      </c>
      <c r="F13" s="28">
        <v>7230.0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>
      <c r="A14" s="3" t="s">
        <v>7</v>
      </c>
      <c r="B14" s="23">
        <v>2700.0</v>
      </c>
      <c r="C14" s="23">
        <v>7800.0</v>
      </c>
      <c r="D14" s="23">
        <v>8100.0</v>
      </c>
      <c r="E14" s="23">
        <f>7800+1140</f>
        <v>8940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>
      <c r="A15" s="3" t="s">
        <v>45</v>
      </c>
      <c r="B15" s="23"/>
      <c r="C15" s="23"/>
      <c r="D15" s="23"/>
      <c r="E15" s="23"/>
      <c r="F15" s="24"/>
      <c r="G15" s="24"/>
      <c r="H15" s="23">
        <v>40000.0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>
      <c r="A16" s="29" t="s">
        <v>46</v>
      </c>
      <c r="B16" s="30"/>
      <c r="C16" s="30"/>
      <c r="D16" s="30"/>
      <c r="E16" s="30"/>
      <c r="F16" s="24"/>
      <c r="G16" s="24"/>
      <c r="H16" s="23">
        <v>19862.1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>
      <c r="A17" s="29" t="s">
        <v>47</v>
      </c>
      <c r="B17" s="30"/>
      <c r="C17" s="30"/>
      <c r="D17" s="30"/>
      <c r="E17" s="30"/>
      <c r="F17" s="24"/>
      <c r="G17" s="24"/>
      <c r="H17" s="26">
        <v>53658.0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>
      <c r="A18" s="6" t="s">
        <v>4</v>
      </c>
      <c r="B18" s="31">
        <f t="shared" ref="B18:T18" si="2">SUM(B12:B17)</f>
        <v>2700</v>
      </c>
      <c r="C18" s="31">
        <f t="shared" si="2"/>
        <v>7800</v>
      </c>
      <c r="D18" s="31">
        <f t="shared" si="2"/>
        <v>8100</v>
      </c>
      <c r="E18" s="31">
        <f t="shared" si="2"/>
        <v>10170</v>
      </c>
      <c r="F18" s="31">
        <f t="shared" si="2"/>
        <v>9102</v>
      </c>
      <c r="G18" s="31">
        <f t="shared" si="2"/>
        <v>0</v>
      </c>
      <c r="H18" s="31">
        <f t="shared" si="2"/>
        <v>113520.1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31">
        <f t="shared" si="2"/>
        <v>0</v>
      </c>
      <c r="P18" s="31">
        <f t="shared" si="2"/>
        <v>0</v>
      </c>
      <c r="Q18" s="31">
        <f t="shared" si="2"/>
        <v>0</v>
      </c>
      <c r="R18" s="31">
        <f t="shared" si="2"/>
        <v>0</v>
      </c>
      <c r="S18" s="31">
        <f t="shared" si="2"/>
        <v>0</v>
      </c>
      <c r="T18" s="31">
        <f t="shared" si="2"/>
        <v>0</v>
      </c>
    </row>
    <row r="19">
      <c r="A19" s="6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>
      <c r="A20" s="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>
      <c r="A21" s="9" t="s">
        <v>9</v>
      </c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>
      <c r="A22" s="3" t="s">
        <v>48</v>
      </c>
      <c r="B22" s="23"/>
      <c r="C22" s="23"/>
      <c r="D22" s="23"/>
      <c r="E22" s="23"/>
      <c r="F22" s="24"/>
      <c r="G22" s="24"/>
      <c r="H22" s="32">
        <f>'Базовая стоимость'!A2</f>
        <v>0.00085988</v>
      </c>
    </row>
    <row r="23">
      <c r="A23" s="29" t="s">
        <v>49</v>
      </c>
      <c r="B23" s="30"/>
      <c r="C23" s="30"/>
      <c r="D23" s="30"/>
      <c r="E23" s="30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>
        <f>MAX((B40-300000)*0.01,0)/12</f>
        <v>12082.40032</v>
      </c>
      <c r="T23" s="24"/>
    </row>
    <row r="24">
      <c r="A24" s="3" t="s">
        <v>11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>
      <c r="A25" s="3" t="s">
        <v>12</v>
      </c>
      <c r="B25" s="23"/>
      <c r="C25" s="23"/>
      <c r="D25" s="23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>
      <c r="A28" s="6" t="s">
        <v>13</v>
      </c>
      <c r="B28" s="27"/>
      <c r="C28" s="27"/>
      <c r="D28" s="27"/>
      <c r="E28" s="27"/>
      <c r="F28" s="24"/>
      <c r="G28" s="24"/>
      <c r="H28" s="24">
        <f t="shared" ref="H28:T28" si="3">H29*$H$22</f>
        <v>68790.4</v>
      </c>
      <c r="I28" s="24">
        <f t="shared" si="3"/>
        <v>137580.8</v>
      </c>
      <c r="J28" s="24">
        <f t="shared" si="3"/>
        <v>206371.2</v>
      </c>
      <c r="K28" s="24">
        <f t="shared" si="3"/>
        <v>275161.6</v>
      </c>
      <c r="L28" s="24">
        <f t="shared" si="3"/>
        <v>343952</v>
      </c>
      <c r="M28" s="24">
        <f t="shared" si="3"/>
        <v>412742.4</v>
      </c>
      <c r="N28" s="24">
        <f t="shared" si="3"/>
        <v>481532.8</v>
      </c>
      <c r="O28" s="24">
        <f t="shared" si="3"/>
        <v>550323.2</v>
      </c>
      <c r="P28" s="24">
        <f t="shared" si="3"/>
        <v>619113.6</v>
      </c>
      <c r="Q28" s="24">
        <f t="shared" si="3"/>
        <v>687904</v>
      </c>
      <c r="R28" s="24">
        <f t="shared" si="3"/>
        <v>756694.4</v>
      </c>
      <c r="S28" s="24">
        <f t="shared" si="3"/>
        <v>825484.8</v>
      </c>
      <c r="T28" s="24">
        <f t="shared" si="3"/>
        <v>894275.2</v>
      </c>
    </row>
    <row r="29">
      <c r="A29" s="6" t="s">
        <v>14</v>
      </c>
      <c r="B29" s="27"/>
      <c r="C29" s="27"/>
      <c r="D29" s="27"/>
      <c r="E29" s="27"/>
      <c r="F29" s="24"/>
      <c r="G29" s="24"/>
      <c r="H29" s="24">
        <f>'Целевая аудитория'!$G$3/100*H52</f>
        <v>80000000</v>
      </c>
      <c r="I29" s="24">
        <f>'Целевая аудитория'!$G$3/100*I52</f>
        <v>160000000</v>
      </c>
      <c r="J29" s="24">
        <f>'Целевая аудитория'!$G$3/100*J52</f>
        <v>240000000</v>
      </c>
      <c r="K29" s="24">
        <f>'Целевая аудитория'!$G$3/100*K52</f>
        <v>320000000</v>
      </c>
      <c r="L29" s="24">
        <f>'Целевая аудитория'!$G$3/100*L52</f>
        <v>400000000</v>
      </c>
      <c r="M29" s="24">
        <f>'Целевая аудитория'!$G$3/100*M52</f>
        <v>480000000</v>
      </c>
      <c r="N29" s="24">
        <f>'Целевая аудитория'!$G$3/100*N52</f>
        <v>560000000</v>
      </c>
      <c r="O29" s="24">
        <f>'Целевая аудитория'!$G$3/100*O52</f>
        <v>640000000</v>
      </c>
      <c r="P29" s="24">
        <f>'Целевая аудитория'!$G$3/100*P52</f>
        <v>720000000</v>
      </c>
      <c r="Q29" s="24">
        <f>'Целевая аудитория'!$G$3/100*Q52</f>
        <v>800000000</v>
      </c>
      <c r="R29" s="24">
        <f>'Целевая аудитория'!$G$3/100*R52</f>
        <v>880000000</v>
      </c>
      <c r="S29" s="24">
        <f>'Целевая аудитория'!$G$3/100*S52</f>
        <v>960000000</v>
      </c>
      <c r="T29" s="24">
        <f>'Целевая аудитория'!$G$3/100*T52</f>
        <v>1040000000</v>
      </c>
    </row>
    <row r="30">
      <c r="A30" s="6" t="s">
        <v>15</v>
      </c>
      <c r="B30" s="27"/>
      <c r="C30" s="27"/>
      <c r="D30" s="27"/>
      <c r="E30" s="27"/>
      <c r="F30" s="24"/>
      <c r="G30" s="24"/>
      <c r="H30" s="24">
        <f t="shared" ref="H30:T30" si="4">SUM(H23:H28)</f>
        <v>68790.4</v>
      </c>
      <c r="I30" s="24">
        <f t="shared" si="4"/>
        <v>137580.8</v>
      </c>
      <c r="J30" s="24">
        <f t="shared" si="4"/>
        <v>206371.2</v>
      </c>
      <c r="K30" s="24">
        <f t="shared" si="4"/>
        <v>275161.6</v>
      </c>
      <c r="L30" s="24">
        <f t="shared" si="4"/>
        <v>343952</v>
      </c>
      <c r="M30" s="24">
        <f t="shared" si="4"/>
        <v>412742.4</v>
      </c>
      <c r="N30" s="24">
        <f t="shared" si="4"/>
        <v>481532.8</v>
      </c>
      <c r="O30" s="24">
        <f t="shared" si="4"/>
        <v>550323.2</v>
      </c>
      <c r="P30" s="24">
        <f t="shared" si="4"/>
        <v>619113.6</v>
      </c>
      <c r="Q30" s="24">
        <f t="shared" si="4"/>
        <v>687904</v>
      </c>
      <c r="R30" s="24">
        <f t="shared" si="4"/>
        <v>756694.4</v>
      </c>
      <c r="S30" s="24">
        <f t="shared" si="4"/>
        <v>837567.2003</v>
      </c>
      <c r="T30" s="24">
        <f t="shared" si="4"/>
        <v>894275.2</v>
      </c>
    </row>
    <row r="31">
      <c r="A31" s="6"/>
      <c r="B31" s="27"/>
      <c r="C31" s="27"/>
      <c r="D31" s="27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>
      <c r="A32" s="6"/>
      <c r="B32" s="27"/>
      <c r="C32" s="27"/>
      <c r="D32" s="27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>
      <c r="A33" s="11" t="s">
        <v>16</v>
      </c>
      <c r="B33" s="33"/>
      <c r="C33" s="33"/>
      <c r="D33" s="33"/>
      <c r="E33" s="33"/>
      <c r="F33" s="34"/>
      <c r="G33" s="34"/>
      <c r="H33" s="34">
        <f>'Базовая стоимость'!$E$3*H29</f>
        <v>8781.753191</v>
      </c>
      <c r="I33" s="34">
        <f>'Базовая стоимость'!$E$3*I29</f>
        <v>17563.50638</v>
      </c>
      <c r="J33" s="34">
        <f>'Базовая стоимость'!$E$3*J29</f>
        <v>26345.25957</v>
      </c>
      <c r="K33" s="34">
        <f>'Базовая стоимость'!$E$3*K29</f>
        <v>35127.01277</v>
      </c>
      <c r="L33" s="34">
        <f>'Базовая стоимость'!$E$3*L29</f>
        <v>43908.76596</v>
      </c>
      <c r="M33" s="34">
        <f>'Базовая стоимость'!$E$3*M29</f>
        <v>52690.51915</v>
      </c>
      <c r="N33" s="34">
        <f>'Базовая стоимость'!$E$3*N29</f>
        <v>61472.27234</v>
      </c>
      <c r="O33" s="34">
        <f>'Базовая стоимость'!$E$3*O29</f>
        <v>70254.02553</v>
      </c>
      <c r="P33" s="34">
        <f>'Базовая стоимость'!$E$3*P29</f>
        <v>79035.77872</v>
      </c>
      <c r="Q33" s="34">
        <f>'Базовая стоимость'!$E$3*Q29</f>
        <v>87817.53191</v>
      </c>
      <c r="R33" s="34">
        <f>'Базовая стоимость'!$E$3*R29</f>
        <v>96599.28511</v>
      </c>
      <c r="S33" s="34">
        <f>'Базовая стоимость'!$E$3*S29</f>
        <v>105381.0383</v>
      </c>
      <c r="T33" s="34">
        <f>'Базовая стоимость'!$E$3*T29</f>
        <v>114162.7915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>
      <c r="A34" s="13" t="s">
        <v>17</v>
      </c>
      <c r="B34" s="35"/>
      <c r="C34" s="35"/>
      <c r="D34" s="35"/>
      <c r="E34" s="35"/>
      <c r="F34" s="36"/>
      <c r="G34" s="36"/>
      <c r="H34" s="37">
        <f>'Базовая стоимость'!$H$2</f>
        <v>0.002032813239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>
      <c r="A35" s="15" t="s">
        <v>57</v>
      </c>
      <c r="B35" s="38"/>
      <c r="C35" s="38"/>
      <c r="D35" s="38"/>
      <c r="E35" s="38"/>
      <c r="F35" s="39"/>
      <c r="G35" s="39"/>
      <c r="H35" s="39">
        <f t="shared" ref="H35:T35" si="5">$H$34*H29</f>
        <v>162625.0591</v>
      </c>
      <c r="I35" s="39">
        <f t="shared" si="5"/>
        <v>325250.1182</v>
      </c>
      <c r="J35" s="39">
        <f t="shared" si="5"/>
        <v>487875.1773</v>
      </c>
      <c r="K35" s="39">
        <f t="shared" si="5"/>
        <v>650500.2364</v>
      </c>
      <c r="L35" s="39">
        <f t="shared" si="5"/>
        <v>813125.2955</v>
      </c>
      <c r="M35" s="39">
        <f t="shared" si="5"/>
        <v>975750.3546</v>
      </c>
      <c r="N35" s="39">
        <f t="shared" si="5"/>
        <v>1138375.414</v>
      </c>
      <c r="O35" s="39">
        <f t="shared" si="5"/>
        <v>1301000.473</v>
      </c>
      <c r="P35" s="39">
        <f t="shared" si="5"/>
        <v>1463625.532</v>
      </c>
      <c r="Q35" s="39">
        <f t="shared" si="5"/>
        <v>1626250.591</v>
      </c>
      <c r="R35" s="39">
        <f t="shared" si="5"/>
        <v>1788875.65</v>
      </c>
      <c r="S35" s="39">
        <f t="shared" si="5"/>
        <v>1951500.709</v>
      </c>
      <c r="T35" s="39">
        <f t="shared" si="5"/>
        <v>2114125.768</v>
      </c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>
      <c r="A36" s="17" t="s">
        <v>58</v>
      </c>
      <c r="B36" s="24">
        <f t="shared" ref="B36:T36" si="6">B35-B30</f>
        <v>0</v>
      </c>
      <c r="C36" s="24">
        <f t="shared" si="6"/>
        <v>0</v>
      </c>
      <c r="D36" s="24">
        <f t="shared" si="6"/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93834.6591</v>
      </c>
      <c r="I36" s="24">
        <f t="shared" si="6"/>
        <v>187669.3182</v>
      </c>
      <c r="J36" s="24">
        <f t="shared" si="6"/>
        <v>281503.9773</v>
      </c>
      <c r="K36" s="24">
        <f t="shared" si="6"/>
        <v>375338.6364</v>
      </c>
      <c r="L36" s="24">
        <f t="shared" si="6"/>
        <v>469173.2955</v>
      </c>
      <c r="M36" s="24">
        <f t="shared" si="6"/>
        <v>563007.9546</v>
      </c>
      <c r="N36" s="24">
        <f t="shared" si="6"/>
        <v>656842.6137</v>
      </c>
      <c r="O36" s="24">
        <f t="shared" si="6"/>
        <v>750677.2728</v>
      </c>
      <c r="P36" s="24">
        <f t="shared" si="6"/>
        <v>844511.9319</v>
      </c>
      <c r="Q36" s="24">
        <f t="shared" si="6"/>
        <v>938346.591</v>
      </c>
      <c r="R36" s="24">
        <f t="shared" si="6"/>
        <v>1032181.25</v>
      </c>
      <c r="S36" s="24">
        <f t="shared" si="6"/>
        <v>1113933.509</v>
      </c>
      <c r="T36" s="24">
        <f t="shared" si="6"/>
        <v>1219850.568</v>
      </c>
    </row>
    <row r="37">
      <c r="A37" s="17" t="s">
        <v>59</v>
      </c>
      <c r="B37" s="24">
        <f t="shared" ref="B37:T37" si="7">B36-B18</f>
        <v>-2700</v>
      </c>
      <c r="C37" s="24">
        <f t="shared" si="7"/>
        <v>-7800</v>
      </c>
      <c r="D37" s="24">
        <f t="shared" si="7"/>
        <v>-8100</v>
      </c>
      <c r="E37" s="24">
        <f t="shared" si="7"/>
        <v>-10170</v>
      </c>
      <c r="F37" s="24">
        <f t="shared" si="7"/>
        <v>-9102</v>
      </c>
      <c r="G37" s="24">
        <f t="shared" si="7"/>
        <v>0</v>
      </c>
      <c r="H37" s="24">
        <f t="shared" si="7"/>
        <v>-19685.4409</v>
      </c>
      <c r="I37" s="24">
        <f t="shared" si="7"/>
        <v>187669.3182</v>
      </c>
      <c r="J37" s="24">
        <f t="shared" si="7"/>
        <v>281503.9773</v>
      </c>
      <c r="K37" s="24">
        <f t="shared" si="7"/>
        <v>375338.6364</v>
      </c>
      <c r="L37" s="24">
        <f t="shared" si="7"/>
        <v>469173.2955</v>
      </c>
      <c r="M37" s="24">
        <f t="shared" si="7"/>
        <v>563007.9546</v>
      </c>
      <c r="N37" s="24">
        <f t="shared" si="7"/>
        <v>656842.6137</v>
      </c>
      <c r="O37" s="24">
        <f t="shared" si="7"/>
        <v>750677.2728</v>
      </c>
      <c r="P37" s="24">
        <f t="shared" si="7"/>
        <v>844511.9319</v>
      </c>
      <c r="Q37" s="24">
        <f t="shared" si="7"/>
        <v>938346.591</v>
      </c>
      <c r="R37" s="24">
        <f t="shared" si="7"/>
        <v>1032181.25</v>
      </c>
      <c r="S37" s="24">
        <f t="shared" si="7"/>
        <v>1113933.509</v>
      </c>
      <c r="T37" s="24">
        <f t="shared" si="7"/>
        <v>1219850.568</v>
      </c>
    </row>
    <row r="38">
      <c r="A38" s="18" t="s">
        <v>60</v>
      </c>
      <c r="B38" s="40">
        <f t="shared" ref="B38:T38" si="8">B37-B33-B8</f>
        <v>-2700</v>
      </c>
      <c r="C38" s="40">
        <f t="shared" si="8"/>
        <v>-7800</v>
      </c>
      <c r="D38" s="40">
        <f t="shared" si="8"/>
        <v>-8100</v>
      </c>
      <c r="E38" s="40">
        <f t="shared" si="8"/>
        <v>-10170</v>
      </c>
      <c r="F38" s="40">
        <f t="shared" si="8"/>
        <v>-11442</v>
      </c>
      <c r="G38" s="40">
        <f t="shared" si="8"/>
        <v>-10000</v>
      </c>
      <c r="H38" s="40">
        <f t="shared" si="8"/>
        <v>-29267.19409</v>
      </c>
      <c r="I38" s="40">
        <f t="shared" si="8"/>
        <v>170105.8118</v>
      </c>
      <c r="J38" s="40">
        <f t="shared" si="8"/>
        <v>255158.7177</v>
      </c>
      <c r="K38" s="40">
        <f t="shared" si="8"/>
        <v>340211.6236</v>
      </c>
      <c r="L38" s="40">
        <f t="shared" si="8"/>
        <v>425264.5296</v>
      </c>
      <c r="M38" s="40">
        <f t="shared" si="8"/>
        <v>510317.4355</v>
      </c>
      <c r="N38" s="40">
        <f t="shared" si="8"/>
        <v>595370.3414</v>
      </c>
      <c r="O38" s="40">
        <f t="shared" si="8"/>
        <v>680423.2473</v>
      </c>
      <c r="P38" s="40">
        <f t="shared" si="8"/>
        <v>765476.1532</v>
      </c>
      <c r="Q38" s="40">
        <f t="shared" si="8"/>
        <v>850529.0591</v>
      </c>
      <c r="R38" s="40">
        <f t="shared" si="8"/>
        <v>935581.965</v>
      </c>
      <c r="S38" s="40">
        <f t="shared" si="8"/>
        <v>1008552.471</v>
      </c>
      <c r="T38" s="40">
        <f t="shared" si="8"/>
        <v>1105687.777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>
      <c r="A39" s="3" t="s">
        <v>54</v>
      </c>
      <c r="B39" s="24">
        <f>B38</f>
        <v>-2700</v>
      </c>
      <c r="C39" s="24">
        <f t="shared" ref="C39:T39" si="9">C38+B39</f>
        <v>-10500</v>
      </c>
      <c r="D39" s="24">
        <f t="shared" si="9"/>
        <v>-18600</v>
      </c>
      <c r="E39" s="24">
        <f t="shared" si="9"/>
        <v>-28770</v>
      </c>
      <c r="F39" s="24">
        <f t="shared" si="9"/>
        <v>-40212</v>
      </c>
      <c r="G39" s="24">
        <f t="shared" si="9"/>
        <v>-50212</v>
      </c>
      <c r="H39" s="24">
        <f t="shared" si="9"/>
        <v>-79479.19409</v>
      </c>
      <c r="I39" s="24">
        <f t="shared" si="9"/>
        <v>90626.61773</v>
      </c>
      <c r="J39" s="24">
        <f t="shared" si="9"/>
        <v>345785.3355</v>
      </c>
      <c r="K39" s="24">
        <f t="shared" si="9"/>
        <v>685996.9591</v>
      </c>
      <c r="L39" s="24">
        <f t="shared" si="9"/>
        <v>1111261.489</v>
      </c>
      <c r="M39" s="24">
        <f t="shared" si="9"/>
        <v>1621578.924</v>
      </c>
      <c r="N39" s="24">
        <f t="shared" si="9"/>
        <v>2216949.265</v>
      </c>
      <c r="O39" s="24">
        <f t="shared" si="9"/>
        <v>2897372.513</v>
      </c>
      <c r="P39" s="24">
        <f t="shared" si="9"/>
        <v>3662848.666</v>
      </c>
      <c r="Q39" s="24">
        <f t="shared" si="9"/>
        <v>4513377.725</v>
      </c>
      <c r="R39" s="24">
        <f t="shared" si="9"/>
        <v>5448959.69</v>
      </c>
      <c r="S39" s="24">
        <f t="shared" si="9"/>
        <v>6457512.161</v>
      </c>
      <c r="T39" s="24">
        <f t="shared" si="9"/>
        <v>7563199.938</v>
      </c>
    </row>
    <row r="40">
      <c r="A40" s="3" t="s">
        <v>55</v>
      </c>
      <c r="B40" s="24">
        <f>SUM(35:35)</f>
        <v>14798880.38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>
      <c r="A41" s="3" t="s">
        <v>56</v>
      </c>
      <c r="B41" s="24">
        <f>SUM(38:38)</f>
        <v>7563199.938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52" hidden="1">
      <c r="H52" s="3">
        <v>1.0</v>
      </c>
      <c r="I52" s="3">
        <v>2.0</v>
      </c>
      <c r="J52" s="3">
        <v>3.0</v>
      </c>
      <c r="K52" s="3">
        <v>4.0</v>
      </c>
      <c r="L52" s="3">
        <v>5.0</v>
      </c>
      <c r="M52" s="3">
        <v>6.0</v>
      </c>
      <c r="N52" s="3">
        <v>7.0</v>
      </c>
      <c r="O52" s="3">
        <v>8.0</v>
      </c>
      <c r="P52" s="3">
        <v>9.0</v>
      </c>
      <c r="Q52" s="3">
        <v>10.0</v>
      </c>
      <c r="R52" s="3">
        <v>11.0</v>
      </c>
      <c r="S52" s="3">
        <v>12.0</v>
      </c>
      <c r="T52" s="3">
        <v>13.0</v>
      </c>
    </row>
  </sheetData>
  <mergeCells count="4">
    <mergeCell ref="F1:K1"/>
    <mergeCell ref="L1:Q1"/>
    <mergeCell ref="H22:T22"/>
    <mergeCell ref="H34:T34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41"/>
      <c r="B1" s="41" t="s">
        <v>61</v>
      </c>
      <c r="C1" s="41"/>
      <c r="D1" s="41"/>
      <c r="E1" s="41"/>
    </row>
    <row r="2">
      <c r="A2" s="41" t="s">
        <v>62</v>
      </c>
      <c r="B2" s="41" t="s">
        <v>63</v>
      </c>
      <c r="C2" s="41"/>
      <c r="D2" s="41"/>
      <c r="E2" s="41"/>
    </row>
    <row r="3">
      <c r="A3" s="41"/>
      <c r="B3" s="41"/>
      <c r="C3" s="41"/>
      <c r="D3" s="41"/>
      <c r="E3" s="41"/>
    </row>
    <row r="4">
      <c r="A4" s="41"/>
      <c r="B4" s="41"/>
      <c r="C4" s="41"/>
      <c r="D4" s="41"/>
      <c r="E4" s="41"/>
    </row>
    <row r="5">
      <c r="A5" s="41"/>
      <c r="B5" s="41"/>
      <c r="C5" s="41"/>
      <c r="D5" s="41"/>
      <c r="E5" s="41"/>
    </row>
    <row r="6">
      <c r="A6" s="41"/>
      <c r="B6" s="41"/>
      <c r="C6" s="41"/>
      <c r="D6" s="41"/>
      <c r="E6" s="41"/>
    </row>
    <row r="7">
      <c r="A7" s="41"/>
      <c r="B7" s="41"/>
      <c r="C7" s="41"/>
      <c r="D7" s="41"/>
      <c r="E7" s="41"/>
    </row>
    <row r="8">
      <c r="A8" s="41"/>
      <c r="B8" s="41"/>
      <c r="C8" s="41"/>
      <c r="D8" s="41"/>
      <c r="E8" s="41"/>
    </row>
    <row r="9">
      <c r="A9" s="41"/>
      <c r="B9" s="41"/>
      <c r="C9" s="41"/>
      <c r="D9" s="41"/>
      <c r="E9" s="41"/>
    </row>
    <row r="10">
      <c r="A10" s="41"/>
      <c r="B10" s="41"/>
      <c r="C10" s="41"/>
      <c r="D10" s="41"/>
      <c r="E10" s="4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3" max="3" width="14.38"/>
  </cols>
  <sheetData>
    <row r="1">
      <c r="A1" s="42" t="s">
        <v>64</v>
      </c>
      <c r="B1" s="43" t="s">
        <v>65</v>
      </c>
      <c r="C1" s="43" t="s">
        <v>66</v>
      </c>
      <c r="D1" s="43" t="s">
        <v>67</v>
      </c>
      <c r="E1" s="43" t="s">
        <v>68</v>
      </c>
      <c r="F1" s="43" t="s">
        <v>69</v>
      </c>
      <c r="G1" s="44"/>
      <c r="H1" s="43" t="s">
        <v>70</v>
      </c>
    </row>
    <row r="2">
      <c r="A2" s="45">
        <f>B10+B12</f>
        <v>0.00085988</v>
      </c>
      <c r="B2" s="46">
        <v>1.0</v>
      </c>
      <c r="C2" s="45">
        <f>A2 * B2 + A2</f>
        <v>0.00171976</v>
      </c>
      <c r="D2" s="46">
        <v>0.06</v>
      </c>
      <c r="E2" s="47">
        <f>C2/(1-D2)</f>
        <v>0.001829531915</v>
      </c>
      <c r="F2" s="48">
        <v>0.1</v>
      </c>
      <c r="G2" s="44"/>
      <c r="H2" s="45">
        <f>E2/(1-F2)</f>
        <v>0.002032813239</v>
      </c>
    </row>
    <row r="3">
      <c r="A3" s="44"/>
      <c r="B3" s="44"/>
      <c r="C3" s="44"/>
      <c r="D3" s="44"/>
      <c r="E3" s="45">
        <f>E2-C2</f>
        <v>0.0001097719149</v>
      </c>
      <c r="F3" s="44"/>
      <c r="G3" s="44"/>
      <c r="H3" s="45">
        <f>ROUNDUP(H2,0)</f>
        <v>1</v>
      </c>
    </row>
    <row r="4">
      <c r="A4" s="45"/>
      <c r="B4" s="44"/>
      <c r="C4" s="44"/>
      <c r="D4" s="44"/>
      <c r="E4" s="44"/>
      <c r="F4" s="44"/>
      <c r="G4" s="44"/>
      <c r="H4" s="44"/>
    </row>
    <row r="6">
      <c r="B6" s="3" t="s">
        <v>71</v>
      </c>
      <c r="C6" s="3" t="s">
        <v>72</v>
      </c>
      <c r="D6" s="3" t="s">
        <v>73</v>
      </c>
      <c r="E6" s="3" t="s">
        <v>74</v>
      </c>
      <c r="F6" s="3" t="s">
        <v>75</v>
      </c>
    </row>
    <row r="7">
      <c r="A7" s="3" t="s">
        <v>76</v>
      </c>
      <c r="B7" s="49">
        <v>1000000.0</v>
      </c>
      <c r="C7" s="49">
        <v>1000000.0</v>
      </c>
      <c r="D7" s="49">
        <v>1000000.0</v>
      </c>
      <c r="E7" s="49">
        <v>1000000.0</v>
      </c>
      <c r="F7" s="49">
        <v>1000.0</v>
      </c>
    </row>
    <row r="8">
      <c r="A8" s="3" t="s">
        <v>77</v>
      </c>
      <c r="B8" s="41">
        <f>(0.4+0.3)*B16</f>
        <v>57.4</v>
      </c>
      <c r="C8" s="41">
        <f>(2.5+1)*B16</f>
        <v>287</v>
      </c>
      <c r="D8" s="3">
        <f>(2.5+15)*B16</f>
        <v>1435</v>
      </c>
      <c r="E8" s="41">
        <f>(2+8)*B16</f>
        <v>820</v>
      </c>
      <c r="F8" s="50">
        <v>1.2</v>
      </c>
    </row>
    <row r="9">
      <c r="A9" s="3" t="s">
        <v>78</v>
      </c>
      <c r="B9" s="41">
        <f t="shared" ref="B9:F9" si="1">B8/B7</f>
        <v>0.0000574</v>
      </c>
      <c r="C9" s="41">
        <f t="shared" si="1"/>
        <v>0.000287</v>
      </c>
      <c r="D9" s="41">
        <f t="shared" si="1"/>
        <v>0.001435</v>
      </c>
      <c r="E9" s="41">
        <f t="shared" si="1"/>
        <v>0.00082</v>
      </c>
      <c r="F9" s="41">
        <f t="shared" si="1"/>
        <v>0.0012</v>
      </c>
    </row>
    <row r="10">
      <c r="A10" s="51" t="s">
        <v>79</v>
      </c>
      <c r="B10" s="52">
        <f>AVERAGE(B9:F9)</f>
        <v>0.00075988</v>
      </c>
      <c r="C10" s="53"/>
      <c r="D10" s="53"/>
      <c r="E10" s="53"/>
      <c r="F10" s="54"/>
    </row>
    <row r="12">
      <c r="A12" s="51" t="s">
        <v>80</v>
      </c>
      <c r="B12" s="55">
        <v>1.0E-4</v>
      </c>
      <c r="C12" s="53"/>
      <c r="D12" s="53"/>
      <c r="E12" s="53"/>
      <c r="F12" s="54"/>
    </row>
    <row r="16">
      <c r="A16" s="56" t="s">
        <v>81</v>
      </c>
      <c r="B16" s="56">
        <v>82.0</v>
      </c>
    </row>
  </sheetData>
  <mergeCells count="2">
    <mergeCell ref="B10:F10"/>
    <mergeCell ref="B12:F1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3" t="s">
        <v>82</v>
      </c>
      <c r="B1" s="43" t="s">
        <v>83</v>
      </c>
      <c r="C1" s="43" t="s">
        <v>84</v>
      </c>
      <c r="D1" s="57" t="s">
        <v>85</v>
      </c>
      <c r="E1" s="58" t="s">
        <v>86</v>
      </c>
      <c r="F1" s="59" t="s">
        <v>87</v>
      </c>
      <c r="G1" s="58" t="s">
        <v>88</v>
      </c>
      <c r="H1" s="43" t="s">
        <v>89</v>
      </c>
      <c r="I1" s="43" t="s">
        <v>90</v>
      </c>
      <c r="J1" s="43" t="s">
        <v>91</v>
      </c>
      <c r="K1" s="60" t="s">
        <v>92</v>
      </c>
      <c r="L1" s="60" t="s">
        <v>93</v>
      </c>
      <c r="M1" s="43" t="s">
        <v>94</v>
      </c>
      <c r="N1" s="60" t="s">
        <v>95</v>
      </c>
    </row>
    <row r="2">
      <c r="A2" s="43" t="s">
        <v>96</v>
      </c>
      <c r="B2" s="61">
        <v>400000.0</v>
      </c>
      <c r="C2" s="61">
        <v>10.0</v>
      </c>
      <c r="D2" s="3">
        <v>1000.0</v>
      </c>
      <c r="E2" s="41">
        <f t="shared" ref="E2:E3" si="1">D2*C2</f>
        <v>10000</v>
      </c>
      <c r="F2" s="3">
        <v>5.0</v>
      </c>
      <c r="G2" s="41">
        <f t="shared" ref="G2:G3" si="2">E2*B2*F2</f>
        <v>20000000000</v>
      </c>
      <c r="H2" s="61">
        <f>'Базовая стоимость'!B10*E2</f>
        <v>7.5988</v>
      </c>
      <c r="I2" s="61">
        <f t="shared" ref="I2:I3" si="3">H2*B2</f>
        <v>3039520</v>
      </c>
      <c r="J2" s="46">
        <v>0.01</v>
      </c>
      <c r="K2" s="45">
        <f t="shared" ref="K2:K3" si="4">I2*J2</f>
        <v>30395.2</v>
      </c>
      <c r="L2" s="62">
        <f>K2/'Базовая стоимость'!H3*'Базовая стоимость'!A2*'Базовая стоимость'!B2</f>
        <v>26.13622458</v>
      </c>
      <c r="M2" s="62">
        <f>K2/'Базовая стоимость'!$H$3*'Базовая стоимость'!$E$3</f>
        <v>3.336539308</v>
      </c>
      <c r="N2" s="62">
        <f>K2/'Базовая стоимость'!H3*'Базовая стоимость'!A2</f>
        <v>26.13622458</v>
      </c>
    </row>
    <row r="3">
      <c r="A3" s="43" t="s">
        <v>97</v>
      </c>
      <c r="B3" s="61">
        <v>4000.0</v>
      </c>
      <c r="C3" s="61">
        <v>400.0</v>
      </c>
      <c r="D3" s="3">
        <v>1000.0</v>
      </c>
      <c r="E3" s="41">
        <f t="shared" si="1"/>
        <v>400000</v>
      </c>
      <c r="F3" s="3">
        <v>5.0</v>
      </c>
      <c r="G3" s="41">
        <f t="shared" si="2"/>
        <v>8000000000</v>
      </c>
      <c r="H3" s="61">
        <f>'Базовая стоимость'!B10*E3</f>
        <v>303.952</v>
      </c>
      <c r="I3" s="61">
        <f t="shared" si="3"/>
        <v>1215808</v>
      </c>
      <c r="J3" s="46">
        <v>0.01</v>
      </c>
      <c r="K3" s="45">
        <f t="shared" si="4"/>
        <v>12158.08</v>
      </c>
      <c r="L3" s="62">
        <f>K3/'Базовая стоимость'!H3*'Базовая стоимость'!A2*'Базовая стоимость'!B2</f>
        <v>10.45448983</v>
      </c>
      <c r="M3" s="62">
        <f>K3/'Базовая стоимость'!$H$3*'Базовая стоимость'!$E$3</f>
        <v>1.334615723</v>
      </c>
      <c r="N3" s="62">
        <f>K3/'Базовая стоимость'!H3*'Базовая стоимость'!A2</f>
        <v>10.45448983</v>
      </c>
    </row>
    <row r="4">
      <c r="A4" s="63" t="s">
        <v>98</v>
      </c>
      <c r="B4" s="63">
        <v>150000.0</v>
      </c>
      <c r="C4" s="63">
        <v>200.0</v>
      </c>
      <c r="D4" s="3">
        <v>1000.0</v>
      </c>
      <c r="F4" s="3">
        <v>5.0</v>
      </c>
      <c r="H4" s="44"/>
      <c r="I4" s="44"/>
      <c r="J4" s="44"/>
      <c r="K4" s="45"/>
      <c r="L4" s="62"/>
      <c r="M4" s="62"/>
      <c r="N4" s="62"/>
    </row>
    <row r="5">
      <c r="H5" s="44"/>
      <c r="I5" s="44"/>
      <c r="J5" s="44"/>
      <c r="K5" s="45">
        <f> SUM(K2:K3)</f>
        <v>42553.28</v>
      </c>
      <c r="L5" s="62">
        <f>L2+L3</f>
        <v>36.59071441</v>
      </c>
      <c r="M5" s="62">
        <f>SUM(M2:M3)</f>
        <v>4.671155031</v>
      </c>
      <c r="N5" s="62">
        <f>N2+N3</f>
        <v>36.59071441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</cols>
  <sheetData>
    <row r="1">
      <c r="A1" s="55" t="s">
        <v>99</v>
      </c>
      <c r="B1" s="53"/>
      <c r="C1" s="53"/>
      <c r="D1" s="54"/>
    </row>
    <row r="2">
      <c r="A2" s="3"/>
    </row>
    <row r="3">
      <c r="A3" s="64" t="s">
        <v>100</v>
      </c>
    </row>
    <row r="4">
      <c r="A4" s="18" t="s">
        <v>101</v>
      </c>
    </row>
    <row r="5">
      <c r="A5" s="65" t="s">
        <v>102</v>
      </c>
    </row>
  </sheetData>
  <mergeCells count="1">
    <mergeCell ref="A1:D1"/>
  </mergeCells>
  <drawing r:id="rId1"/>
</worksheet>
</file>