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Роман\Desktop\"/>
    </mc:Choice>
  </mc:AlternateContent>
  <xr:revisionPtr revIDLastSave="0" documentId="8_{E6736DB6-AED2-4A4D-940E-F2921DCAF2D6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Титульный лист" sheetId="1" r:id="rId1"/>
    <sheet name="Предположения" sheetId="2" r:id="rId2"/>
    <sheet name="Выручка" sheetId="3" r:id="rId3"/>
    <sheet name="Затраты" sheetId="4" r:id="rId4"/>
    <sheet name="Персонал" sheetId="5" r:id="rId5"/>
    <sheet name="Оборотный капитал" sheetId="7" r:id="rId6"/>
    <sheet name="Инвестиции" sheetId="6" r:id="rId7"/>
    <sheet name="Финансовые результаты" sheetId="8" r:id="rId8"/>
    <sheet name="План-график" sheetId="9" state="hidden" r:id="rId9"/>
    <sheet name="Графики" sheetId="10" r:id="rId10"/>
  </sheets>
  <definedNames>
    <definedName name="Discount_Rate">Предположения!#REF!</definedName>
    <definedName name="Price_1" localSheetId="5">Предположения!#REF!</definedName>
    <definedName name="Price_1">Предположения!#REF!</definedName>
    <definedName name="Sensitivity_Discount_Rate" localSheetId="5">Предположения!#REF!</definedName>
    <definedName name="Sensitivity_Discount_Rate">Предположения!#REF!</definedName>
    <definedName name="Sensitivity_Price_1" localSheetId="5">Предположения!#REF!</definedName>
    <definedName name="Sensitivity_Price_1">Предположения!#REF!</definedName>
    <definedName name="Sensitivity_Volume_1" localSheetId="5">Предположения!#REF!</definedName>
    <definedName name="Sensitivity_Volume_1">Предположения!#REF!</definedName>
    <definedName name="Volume_1" localSheetId="5">Предположения!#REF!</definedName>
    <definedName name="Volume_1">Предположения!#REF!</definedName>
    <definedName name="worker" localSheetId="5">Персонал!#REF!</definedName>
    <definedName name="worker">Персонал!#REF!</definedName>
    <definedName name="_xlnm.Print_Area" localSheetId="1">Предположения!$C$13:$O$22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6" l="1"/>
  <c r="C10" i="6"/>
  <c r="C11" i="6"/>
  <c r="C12" i="6"/>
  <c r="A16" i="4" l="1"/>
  <c r="A2" i="2"/>
  <c r="B22" i="2"/>
  <c r="C80" i="2"/>
  <c r="D62" i="4" s="1"/>
  <c r="B235" i="10"/>
  <c r="D235" i="10" s="1"/>
  <c r="B234" i="10"/>
  <c r="B233" i="10"/>
  <c r="C230" i="10"/>
  <c r="B230" i="10"/>
  <c r="C229" i="10"/>
  <c r="B229" i="10"/>
  <c r="C228" i="10"/>
  <c r="B228" i="10"/>
  <c r="D218" i="10"/>
  <c r="C218" i="10"/>
  <c r="C224" i="10" s="1"/>
  <c r="B218" i="10"/>
  <c r="B224" i="10" s="1"/>
  <c r="D217" i="10"/>
  <c r="C217" i="10"/>
  <c r="C223" i="10" s="1"/>
  <c r="B217" i="10"/>
  <c r="B223" i="10" s="1"/>
  <c r="D214" i="10"/>
  <c r="A204" i="10"/>
  <c r="A203" i="10"/>
  <c r="D202" i="10"/>
  <c r="A202" i="10" s="1"/>
  <c r="A138" i="10"/>
  <c r="A134" i="10"/>
  <c r="A104" i="10"/>
  <c r="B103" i="10"/>
  <c r="A103" i="10"/>
  <c r="B102" i="10"/>
  <c r="A102" i="10"/>
  <c r="A101" i="10"/>
  <c r="B100" i="10"/>
  <c r="A100" i="10"/>
  <c r="B99" i="10"/>
  <c r="A99" i="10"/>
  <c r="A98" i="10"/>
  <c r="B97" i="10"/>
  <c r="A97" i="10"/>
  <c r="C96" i="10"/>
  <c r="B96" i="10"/>
  <c r="A96" i="10"/>
  <c r="B95" i="10"/>
  <c r="A95" i="10"/>
  <c r="B94" i="10"/>
  <c r="A94" i="10"/>
  <c r="A93" i="10"/>
  <c r="B91" i="10"/>
  <c r="A72" i="10"/>
  <c r="A71" i="10"/>
  <c r="A70" i="10"/>
  <c r="A69" i="10"/>
  <c r="A68" i="10"/>
  <c r="B67" i="10"/>
  <c r="B160" i="10" s="1"/>
  <c r="A67" i="10"/>
  <c r="A27" i="10"/>
  <c r="J23" i="10"/>
  <c r="L22" i="10"/>
  <c r="M22" i="10" s="1"/>
  <c r="N22" i="10" s="1"/>
  <c r="K22" i="10"/>
  <c r="J22" i="10"/>
  <c r="E15" i="10"/>
  <c r="E14" i="10"/>
  <c r="E13" i="10"/>
  <c r="E12" i="10"/>
  <c r="E11" i="10"/>
  <c r="E10" i="10"/>
  <c r="E9" i="10"/>
  <c r="E8" i="10"/>
  <c r="P46" i="9"/>
  <c r="P34" i="9" s="1"/>
  <c r="P33" i="9" s="1"/>
  <c r="K46" i="9"/>
  <c r="K34" i="9" s="1"/>
  <c r="K33" i="9" s="1"/>
  <c r="P32" i="9"/>
  <c r="O32" i="9"/>
  <c r="N32" i="9"/>
  <c r="M32" i="9"/>
  <c r="L32" i="9"/>
  <c r="K32" i="9"/>
  <c r="J32" i="9"/>
  <c r="I32" i="9"/>
  <c r="H32" i="9"/>
  <c r="G32" i="9"/>
  <c r="F32" i="9"/>
  <c r="E32" i="9"/>
  <c r="Q32" i="9" s="1"/>
  <c r="P31" i="9"/>
  <c r="O31" i="9"/>
  <c r="N31" i="9"/>
  <c r="M31" i="9"/>
  <c r="L31" i="9"/>
  <c r="L30" i="9" s="1"/>
  <c r="K31" i="9"/>
  <c r="K30" i="9" s="1"/>
  <c r="J31" i="9"/>
  <c r="J30" i="9" s="1"/>
  <c r="I31" i="9"/>
  <c r="I30" i="9" s="1"/>
  <c r="H31" i="9"/>
  <c r="G31" i="9"/>
  <c r="G30" i="9" s="1"/>
  <c r="F31" i="9"/>
  <c r="F30" i="9" s="1"/>
  <c r="E31" i="9"/>
  <c r="Q31" i="9" s="1"/>
  <c r="P30" i="9"/>
  <c r="O30" i="9"/>
  <c r="N30" i="9"/>
  <c r="M30" i="9"/>
  <c r="H30" i="9"/>
  <c r="P29" i="9"/>
  <c r="O29" i="9"/>
  <c r="N29" i="9"/>
  <c r="M29" i="9"/>
  <c r="L29" i="9"/>
  <c r="K29" i="9"/>
  <c r="J29" i="9"/>
  <c r="I29" i="9"/>
  <c r="H29" i="9"/>
  <c r="G29" i="9"/>
  <c r="F29" i="9"/>
  <c r="E29" i="9"/>
  <c r="P28" i="9"/>
  <c r="O28" i="9"/>
  <c r="N28" i="9"/>
  <c r="M28" i="9"/>
  <c r="L28" i="9"/>
  <c r="K28" i="9"/>
  <c r="J28" i="9"/>
  <c r="I28" i="9"/>
  <c r="H28" i="9"/>
  <c r="G28" i="9"/>
  <c r="F28" i="9"/>
  <c r="E28" i="9"/>
  <c r="P27" i="9"/>
  <c r="P26" i="9" s="1"/>
  <c r="O27" i="9"/>
  <c r="O26" i="9" s="1"/>
  <c r="N27" i="9"/>
  <c r="N26" i="9" s="1"/>
  <c r="M27" i="9"/>
  <c r="M26" i="9" s="1"/>
  <c r="L27" i="9"/>
  <c r="L26" i="9" s="1"/>
  <c r="K27" i="9"/>
  <c r="K26" i="9" s="1"/>
  <c r="J27" i="9"/>
  <c r="I27" i="9"/>
  <c r="H27" i="9"/>
  <c r="G27" i="9"/>
  <c r="G26" i="9" s="1"/>
  <c r="F27" i="9"/>
  <c r="E27" i="9"/>
  <c r="P25" i="9"/>
  <c r="O25" i="9"/>
  <c r="N25" i="9"/>
  <c r="M25" i="9"/>
  <c r="L25" i="9"/>
  <c r="K25" i="9"/>
  <c r="J25" i="9"/>
  <c r="I25" i="9"/>
  <c r="H25" i="9"/>
  <c r="G25" i="9"/>
  <c r="F25" i="9"/>
  <c r="E25" i="9"/>
  <c r="Q25" i="9" s="1"/>
  <c r="P24" i="9"/>
  <c r="O24" i="9"/>
  <c r="N24" i="9"/>
  <c r="M24" i="9"/>
  <c r="M23" i="9" s="1"/>
  <c r="M46" i="9" s="1"/>
  <c r="M34" i="9" s="1"/>
  <c r="M33" i="9" s="1"/>
  <c r="L24" i="9"/>
  <c r="L23" i="9" s="1"/>
  <c r="K24" i="9"/>
  <c r="J24" i="9"/>
  <c r="I24" i="9"/>
  <c r="H24" i="9"/>
  <c r="H23" i="9" s="1"/>
  <c r="G24" i="9"/>
  <c r="G23" i="9" s="1"/>
  <c r="F24" i="9"/>
  <c r="E24" i="9"/>
  <c r="Q24" i="9" s="1"/>
  <c r="P23" i="9"/>
  <c r="O23" i="9"/>
  <c r="N23" i="9"/>
  <c r="K23" i="9"/>
  <c r="J23" i="9"/>
  <c r="J46" i="9" s="1"/>
  <c r="I23" i="9"/>
  <c r="F23" i="9"/>
  <c r="E23" i="9"/>
  <c r="Q23" i="9" s="1"/>
  <c r="P22" i="9"/>
  <c r="P21" i="9" s="1"/>
  <c r="P20" i="9" s="1"/>
  <c r="O22" i="9"/>
  <c r="O21" i="9" s="1"/>
  <c r="O20" i="9" s="1"/>
  <c r="N22" i="9"/>
  <c r="M22" i="9"/>
  <c r="L22" i="9"/>
  <c r="K22" i="9"/>
  <c r="K21" i="9" s="1"/>
  <c r="K20" i="9" s="1"/>
  <c r="J22" i="9"/>
  <c r="J21" i="9" s="1"/>
  <c r="J20" i="9" s="1"/>
  <c r="I22" i="9"/>
  <c r="H22" i="9"/>
  <c r="G22" i="9"/>
  <c r="F22" i="9"/>
  <c r="E22" i="9"/>
  <c r="Q22" i="9" s="1"/>
  <c r="B22" i="9"/>
  <c r="N21" i="9"/>
  <c r="M21" i="9"/>
  <c r="L21" i="9"/>
  <c r="I21" i="9"/>
  <c r="H21" i="9"/>
  <c r="G21" i="9"/>
  <c r="F21" i="9"/>
  <c r="F20" i="9" s="1"/>
  <c r="E21" i="9"/>
  <c r="I20" i="9"/>
  <c r="I135" i="8"/>
  <c r="D105" i="8"/>
  <c r="E105" i="8" s="1"/>
  <c r="F105" i="8" s="1"/>
  <c r="G105" i="8" s="1"/>
  <c r="H105" i="8" s="1"/>
  <c r="AB103" i="8"/>
  <c r="AC93" i="8"/>
  <c r="D93" i="8"/>
  <c r="D53" i="8"/>
  <c r="D72" i="8" s="1"/>
  <c r="D99" i="8" s="1"/>
  <c r="D49" i="8"/>
  <c r="D48" i="8"/>
  <c r="G34" i="8"/>
  <c r="E34" i="8"/>
  <c r="F34" i="8" s="1"/>
  <c r="D34" i="8"/>
  <c r="AA6" i="8"/>
  <c r="AA106" i="8" s="1"/>
  <c r="Z6" i="8"/>
  <c r="Z106" i="8" s="1"/>
  <c r="Y6" i="8"/>
  <c r="Y106" i="8" s="1"/>
  <c r="X6" i="8"/>
  <c r="X106" i="8" s="1"/>
  <c r="W6" i="8"/>
  <c r="W106" i="8" s="1"/>
  <c r="V6" i="8"/>
  <c r="V106" i="8" s="1"/>
  <c r="U6" i="8"/>
  <c r="U106" i="8" s="1"/>
  <c r="T6" i="8"/>
  <c r="T106" i="8" s="1"/>
  <c r="S6" i="8"/>
  <c r="S106" i="8" s="1"/>
  <c r="R6" i="8"/>
  <c r="R106" i="8" s="1"/>
  <c r="Q6" i="8"/>
  <c r="Q106" i="8" s="1"/>
  <c r="P6" i="8"/>
  <c r="P106" i="8" s="1"/>
  <c r="O6" i="8"/>
  <c r="O106" i="8" s="1"/>
  <c r="N6" i="8"/>
  <c r="N106" i="8" s="1"/>
  <c r="M6" i="8"/>
  <c r="M106" i="8" s="1"/>
  <c r="L6" i="8"/>
  <c r="L106" i="8" s="1"/>
  <c r="K6" i="8"/>
  <c r="K106" i="8" s="1"/>
  <c r="J6" i="8"/>
  <c r="J106" i="8" s="1"/>
  <c r="I6" i="8"/>
  <c r="I106" i="8" s="1"/>
  <c r="H6" i="8"/>
  <c r="H106" i="8" s="1"/>
  <c r="G6" i="8"/>
  <c r="G106" i="8" s="1"/>
  <c r="F6" i="8"/>
  <c r="F106" i="8" s="1"/>
  <c r="E6" i="8"/>
  <c r="E106" i="8" s="1"/>
  <c r="D6" i="8"/>
  <c r="C6" i="8"/>
  <c r="AG5" i="8"/>
  <c r="AF5" i="8"/>
  <c r="AE5" i="8"/>
  <c r="AD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T4" i="8"/>
  <c r="X4" i="8" s="1"/>
  <c r="N4" i="8"/>
  <c r="R4" i="8" s="1"/>
  <c r="V4" i="8" s="1"/>
  <c r="Z4" i="8" s="1"/>
  <c r="J4" i="8"/>
  <c r="I4" i="8"/>
  <c r="M4" i="8" s="1"/>
  <c r="Q4" i="8" s="1"/>
  <c r="U4" i="8" s="1"/>
  <c r="Y4" i="8" s="1"/>
  <c r="H4" i="8"/>
  <c r="L4" i="8" s="1"/>
  <c r="P4" i="8" s="1"/>
  <c r="G4" i="8"/>
  <c r="K4" i="8" s="1"/>
  <c r="O4" i="8" s="1"/>
  <c r="S4" i="8" s="1"/>
  <c r="W4" i="8" s="1"/>
  <c r="AA4" i="8" s="1"/>
  <c r="F4" i="8"/>
  <c r="E4" i="8"/>
  <c r="A2" i="8"/>
  <c r="C31" i="7"/>
  <c r="C30" i="7"/>
  <c r="D31" i="7" s="1"/>
  <c r="C27" i="7"/>
  <c r="C17" i="7"/>
  <c r="D17" i="7" s="1"/>
  <c r="E17" i="7" s="1"/>
  <c r="C13" i="7"/>
  <c r="D13" i="7" s="1"/>
  <c r="C9" i="7"/>
  <c r="D9" i="7" s="1"/>
  <c r="AH6" i="7"/>
  <c r="AG6" i="7"/>
  <c r="AF6" i="7"/>
  <c r="AE6" i="7"/>
  <c r="AD6" i="7"/>
  <c r="AC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AD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X4" i="7"/>
  <c r="L4" i="7"/>
  <c r="P4" i="7" s="1"/>
  <c r="T4" i="7" s="1"/>
  <c r="H4" i="7"/>
  <c r="F4" i="7"/>
  <c r="E4" i="7"/>
  <c r="I4" i="7" s="1"/>
  <c r="M4" i="7" s="1"/>
  <c r="Q4" i="7" s="1"/>
  <c r="U4" i="7" s="1"/>
  <c r="Y4" i="7" s="1"/>
  <c r="A2" i="7"/>
  <c r="C94" i="6"/>
  <c r="Y93" i="6"/>
  <c r="M93" i="6"/>
  <c r="D88" i="6"/>
  <c r="E88" i="6" s="1"/>
  <c r="F88" i="6" s="1"/>
  <c r="A88" i="6"/>
  <c r="A83" i="6"/>
  <c r="Y80" i="6"/>
  <c r="X80" i="6"/>
  <c r="T80" i="6"/>
  <c r="S80" i="6"/>
  <c r="R80" i="6"/>
  <c r="M80" i="6"/>
  <c r="L80" i="6"/>
  <c r="AH79" i="6"/>
  <c r="AG79" i="6"/>
  <c r="AF79" i="6"/>
  <c r="AE79" i="6"/>
  <c r="AD79" i="6"/>
  <c r="AC79" i="6"/>
  <c r="AA79" i="6"/>
  <c r="Z79" i="6"/>
  <c r="Z80" i="6" s="1"/>
  <c r="Y79" i="6"/>
  <c r="X79" i="6"/>
  <c r="W79" i="6"/>
  <c r="V79" i="6"/>
  <c r="U79" i="6"/>
  <c r="T79" i="6"/>
  <c r="S79" i="6"/>
  <c r="R79" i="6"/>
  <c r="Q79" i="6"/>
  <c r="P79" i="6"/>
  <c r="O79" i="6"/>
  <c r="N79" i="6"/>
  <c r="N80" i="6" s="1"/>
  <c r="M79" i="6"/>
  <c r="L79" i="6"/>
  <c r="K79" i="6"/>
  <c r="J79" i="6"/>
  <c r="I79" i="6"/>
  <c r="AH78" i="6"/>
  <c r="AG78" i="6"/>
  <c r="AF78" i="6"/>
  <c r="AE78" i="6"/>
  <c r="AD78" i="6"/>
  <c r="AC78" i="6"/>
  <c r="AA78" i="6"/>
  <c r="AA80" i="6" s="1"/>
  <c r="Z78" i="6"/>
  <c r="Y78" i="6"/>
  <c r="X78" i="6"/>
  <c r="W78" i="6"/>
  <c r="W80" i="6" s="1"/>
  <c r="V78" i="6"/>
  <c r="V80" i="6" s="1"/>
  <c r="U78" i="6"/>
  <c r="U80" i="6" s="1"/>
  <c r="T78" i="6"/>
  <c r="S78" i="6"/>
  <c r="R78" i="6"/>
  <c r="Q78" i="6"/>
  <c r="Q80" i="6" s="1"/>
  <c r="P78" i="6"/>
  <c r="P80" i="6" s="1"/>
  <c r="O78" i="6"/>
  <c r="O80" i="6" s="1"/>
  <c r="N78" i="6"/>
  <c r="M78" i="6"/>
  <c r="L78" i="6"/>
  <c r="K78" i="6"/>
  <c r="K80" i="6" s="1"/>
  <c r="J78" i="6"/>
  <c r="J80" i="6" s="1"/>
  <c r="I78" i="6"/>
  <c r="I80" i="6" s="1"/>
  <c r="C78" i="6"/>
  <c r="A78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C75" i="6"/>
  <c r="A73" i="6"/>
  <c r="AA70" i="6"/>
  <c r="AA93" i="6" s="1"/>
  <c r="Z70" i="6"/>
  <c r="Z93" i="6" s="1"/>
  <c r="Y70" i="6"/>
  <c r="X70" i="6"/>
  <c r="X93" i="6" s="1"/>
  <c r="W70" i="6"/>
  <c r="W93" i="6" s="1"/>
  <c r="V70" i="6"/>
  <c r="V93" i="6" s="1"/>
  <c r="U70" i="6"/>
  <c r="U93" i="6" s="1"/>
  <c r="T70" i="6"/>
  <c r="T93" i="6" s="1"/>
  <c r="S70" i="6"/>
  <c r="S93" i="6" s="1"/>
  <c r="R70" i="6"/>
  <c r="R93" i="6" s="1"/>
  <c r="Q70" i="6"/>
  <c r="Q93" i="6" s="1"/>
  <c r="P70" i="6"/>
  <c r="P93" i="6" s="1"/>
  <c r="O70" i="6"/>
  <c r="O93" i="6" s="1"/>
  <c r="N70" i="6"/>
  <c r="N93" i="6" s="1"/>
  <c r="M70" i="6"/>
  <c r="L70" i="6"/>
  <c r="L93" i="6" s="1"/>
  <c r="K70" i="6"/>
  <c r="K93" i="6" s="1"/>
  <c r="J70" i="6"/>
  <c r="J93" i="6" s="1"/>
  <c r="I70" i="6"/>
  <c r="I93" i="6" s="1"/>
  <c r="H69" i="6"/>
  <c r="H135" i="8" s="1"/>
  <c r="C69" i="6"/>
  <c r="C79" i="6" s="1"/>
  <c r="H68" i="6"/>
  <c r="C68" i="6"/>
  <c r="A68" i="6"/>
  <c r="C65" i="6"/>
  <c r="C40" i="10" s="1"/>
  <c r="B65" i="6"/>
  <c r="A65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D61" i="6"/>
  <c r="E61" i="6" s="1"/>
  <c r="F61" i="6" s="1"/>
  <c r="G61" i="6" s="1"/>
  <c r="H61" i="6" s="1"/>
  <c r="I61" i="6" s="1"/>
  <c r="J61" i="6" s="1"/>
  <c r="K61" i="6" s="1"/>
  <c r="L61" i="6" s="1"/>
  <c r="M61" i="6" s="1"/>
  <c r="N61" i="6" s="1"/>
  <c r="O61" i="6" s="1"/>
  <c r="P61" i="6" s="1"/>
  <c r="Q61" i="6" s="1"/>
  <c r="R61" i="6" s="1"/>
  <c r="S61" i="6" s="1"/>
  <c r="T61" i="6" s="1"/>
  <c r="U61" i="6" s="1"/>
  <c r="V61" i="6" s="1"/>
  <c r="W61" i="6" s="1"/>
  <c r="X61" i="6" s="1"/>
  <c r="Y61" i="6" s="1"/>
  <c r="Z61" i="6" s="1"/>
  <c r="AA61" i="6" s="1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D53" i="6"/>
  <c r="D54" i="6" s="1"/>
  <c r="A52" i="6"/>
  <c r="A36" i="10" s="1"/>
  <c r="A51" i="6"/>
  <c r="A31" i="10" s="1"/>
  <c r="A50" i="6"/>
  <c r="A35" i="10" s="1"/>
  <c r="A48" i="6"/>
  <c r="A28" i="10" s="1"/>
  <c r="A47" i="6"/>
  <c r="A32" i="10" s="1"/>
  <c r="A45" i="6"/>
  <c r="A33" i="10" s="1"/>
  <c r="A43" i="6"/>
  <c r="A34" i="10" s="1"/>
  <c r="A42" i="6"/>
  <c r="A30" i="10" s="1"/>
  <c r="C39" i="6"/>
  <c r="D36" i="6"/>
  <c r="C33" i="6"/>
  <c r="C19" i="6"/>
  <c r="C18" i="6"/>
  <c r="C17" i="6"/>
  <c r="C16" i="6"/>
  <c r="C15" i="6"/>
  <c r="C14" i="6"/>
  <c r="C13" i="6"/>
  <c r="D11" i="6"/>
  <c r="D10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AE5" i="6"/>
  <c r="AD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D25" i="10" s="1"/>
  <c r="F5" i="6"/>
  <c r="C25" i="10" s="1"/>
  <c r="E5" i="6"/>
  <c r="B25" i="10" s="1"/>
  <c r="D5" i="6"/>
  <c r="C5" i="6"/>
  <c r="X4" i="6"/>
  <c r="L4" i="6"/>
  <c r="P4" i="6" s="1"/>
  <c r="T4" i="6" s="1"/>
  <c r="H4" i="6"/>
  <c r="E4" i="6"/>
  <c r="A2" i="6"/>
  <c r="E34" i="5"/>
  <c r="A34" i="5"/>
  <c r="E33" i="5"/>
  <c r="D102" i="10" s="1"/>
  <c r="A33" i="5"/>
  <c r="E32" i="5"/>
  <c r="A32" i="5"/>
  <c r="E31" i="5"/>
  <c r="D100" i="10" s="1"/>
  <c r="A31" i="5"/>
  <c r="E30" i="5"/>
  <c r="D99" i="10" s="1"/>
  <c r="A30" i="5"/>
  <c r="E29" i="5"/>
  <c r="A29" i="5"/>
  <c r="E28" i="5"/>
  <c r="A28" i="5"/>
  <c r="E24" i="5"/>
  <c r="D93" i="10" s="1"/>
  <c r="A24" i="5"/>
  <c r="F20" i="5"/>
  <c r="C103" i="10" s="1"/>
  <c r="F19" i="5"/>
  <c r="E18" i="5"/>
  <c r="F17" i="5"/>
  <c r="C100" i="10" s="1"/>
  <c r="F16" i="5"/>
  <c r="E15" i="5"/>
  <c r="B98" i="10" s="1"/>
  <c r="F14" i="5"/>
  <c r="C97" i="10" s="1"/>
  <c r="H13" i="5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F12" i="5"/>
  <c r="C95" i="10" s="1"/>
  <c r="F11" i="5"/>
  <c r="C94" i="10" s="1"/>
  <c r="E10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AD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X4" i="5"/>
  <c r="P4" i="5"/>
  <c r="T4" i="5" s="1"/>
  <c r="L4" i="5"/>
  <c r="H4" i="5"/>
  <c r="E4" i="5"/>
  <c r="K3" i="5"/>
  <c r="O3" i="5" s="1"/>
  <c r="A2" i="5"/>
  <c r="B62" i="4"/>
  <c r="A62" i="4"/>
  <c r="G58" i="4"/>
  <c r="F58" i="4"/>
  <c r="E58" i="4"/>
  <c r="D58" i="4"/>
  <c r="D57" i="4"/>
  <c r="D53" i="4"/>
  <c r="D52" i="4"/>
  <c r="D50" i="4"/>
  <c r="E49" i="4"/>
  <c r="E47" i="6" s="1"/>
  <c r="B32" i="10" s="1"/>
  <c r="D49" i="4"/>
  <c r="D44" i="4"/>
  <c r="A39" i="4"/>
  <c r="A38" i="4"/>
  <c r="A37" i="4"/>
  <c r="A36" i="4"/>
  <c r="AC23" i="4"/>
  <c r="AD23" i="4" s="1"/>
  <c r="AE23" i="4" s="1"/>
  <c r="AF23" i="4" s="1"/>
  <c r="AG23" i="4" s="1"/>
  <c r="AH23" i="4" s="1"/>
  <c r="D23" i="4"/>
  <c r="AC22" i="4"/>
  <c r="AD22" i="4" s="1"/>
  <c r="AE22" i="4" s="1"/>
  <c r="AF22" i="4" s="1"/>
  <c r="AG22" i="4" s="1"/>
  <c r="AH22" i="4" s="1"/>
  <c r="D22" i="4"/>
  <c r="A21" i="4"/>
  <c r="F17" i="4"/>
  <c r="A17" i="4"/>
  <c r="F16" i="4"/>
  <c r="F15" i="4"/>
  <c r="A15" i="4"/>
  <c r="F14" i="4"/>
  <c r="A14" i="4"/>
  <c r="AH6" i="4"/>
  <c r="AG6" i="4"/>
  <c r="AF6" i="4"/>
  <c r="AE6" i="4"/>
  <c r="AD6" i="4"/>
  <c r="AC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AD5" i="4"/>
  <c r="AE5" i="4" s="1"/>
  <c r="AA5" i="4"/>
  <c r="AA42" i="4" s="1"/>
  <c r="Z5" i="4"/>
  <c r="Z42" i="4" s="1"/>
  <c r="Y5" i="4"/>
  <c r="Y42" i="4" s="1"/>
  <c r="X5" i="4"/>
  <c r="X42" i="4" s="1"/>
  <c r="W5" i="4"/>
  <c r="W42" i="4" s="1"/>
  <c r="V5" i="4"/>
  <c r="V42" i="4" s="1"/>
  <c r="U5" i="4"/>
  <c r="U42" i="4" s="1"/>
  <c r="T5" i="4"/>
  <c r="T42" i="4" s="1"/>
  <c r="S5" i="4"/>
  <c r="S42" i="4" s="1"/>
  <c r="R5" i="4"/>
  <c r="R42" i="4" s="1"/>
  <c r="Q5" i="4"/>
  <c r="Q42" i="4" s="1"/>
  <c r="P5" i="4"/>
  <c r="P42" i="4" s="1"/>
  <c r="O5" i="4"/>
  <c r="O42" i="4" s="1"/>
  <c r="N5" i="4"/>
  <c r="N42" i="4" s="1"/>
  <c r="M5" i="4"/>
  <c r="M42" i="4" s="1"/>
  <c r="L5" i="4"/>
  <c r="L42" i="4" s="1"/>
  <c r="K5" i="4"/>
  <c r="K42" i="4" s="1"/>
  <c r="J5" i="4"/>
  <c r="J42" i="4" s="1"/>
  <c r="I5" i="4"/>
  <c r="I42" i="4" s="1"/>
  <c r="H5" i="4"/>
  <c r="H42" i="4" s="1"/>
  <c r="G5" i="4"/>
  <c r="G42" i="4" s="1"/>
  <c r="F5" i="4"/>
  <c r="F42" i="4" s="1"/>
  <c r="E5" i="4"/>
  <c r="E42" i="4" s="1"/>
  <c r="D5" i="4"/>
  <c r="D42" i="4" s="1"/>
  <c r="C5" i="4"/>
  <c r="T4" i="4"/>
  <c r="X4" i="4" s="1"/>
  <c r="I4" i="4"/>
  <c r="M4" i="4" s="1"/>
  <c r="Q4" i="4" s="1"/>
  <c r="U4" i="4" s="1"/>
  <c r="Y4" i="4" s="1"/>
  <c r="H4" i="4"/>
  <c r="L4" i="4" s="1"/>
  <c r="P4" i="4" s="1"/>
  <c r="E4" i="4"/>
  <c r="F4" i="4" s="1"/>
  <c r="G4" i="4" s="1"/>
  <c r="K4" i="4" s="1"/>
  <c r="O4" i="4" s="1"/>
  <c r="S4" i="4" s="1"/>
  <c r="W4" i="4" s="1"/>
  <c r="AA4" i="4" s="1"/>
  <c r="K3" i="4"/>
  <c r="O3" i="4" s="1"/>
  <c r="S3" i="4" s="1"/>
  <c r="W3" i="4" s="1"/>
  <c r="AA3" i="4" s="1"/>
  <c r="A2" i="4"/>
  <c r="C37" i="3"/>
  <c r="D29" i="3"/>
  <c r="D28" i="3"/>
  <c r="D27" i="3"/>
  <c r="D26" i="3"/>
  <c r="F22" i="3"/>
  <c r="H21" i="3"/>
  <c r="H17" i="4" s="1"/>
  <c r="G21" i="3"/>
  <c r="G17" i="4" s="1"/>
  <c r="E21" i="3"/>
  <c r="E17" i="4" s="1"/>
  <c r="D21" i="3"/>
  <c r="H20" i="3"/>
  <c r="H16" i="4" s="1"/>
  <c r="G20" i="3"/>
  <c r="G16" i="4" s="1"/>
  <c r="E20" i="3"/>
  <c r="E16" i="4" s="1"/>
  <c r="D20" i="3"/>
  <c r="D16" i="4" s="1"/>
  <c r="H19" i="3"/>
  <c r="H15" i="4" s="1"/>
  <c r="G19" i="3"/>
  <c r="G15" i="4" s="1"/>
  <c r="E19" i="3"/>
  <c r="E15" i="4" s="1"/>
  <c r="D19" i="3"/>
  <c r="H18" i="3"/>
  <c r="H14" i="4" s="1"/>
  <c r="G18" i="3"/>
  <c r="G14" i="4" s="1"/>
  <c r="E18" i="3"/>
  <c r="E14" i="4" s="1"/>
  <c r="D18" i="3"/>
  <c r="U15" i="3"/>
  <c r="U17" i="4" s="1"/>
  <c r="U14" i="3"/>
  <c r="U16" i="4" s="1"/>
  <c r="U13" i="3"/>
  <c r="V13" i="3" s="1"/>
  <c r="V15" i="4" s="1"/>
  <c r="U12" i="3"/>
  <c r="U18" i="3" s="1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D5" i="3"/>
  <c r="AE5" i="3" s="1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L4" i="3"/>
  <c r="P4" i="3" s="1"/>
  <c r="T4" i="3" s="1"/>
  <c r="X4" i="3" s="1"/>
  <c r="I4" i="3"/>
  <c r="M4" i="3" s="1"/>
  <c r="Q4" i="3" s="1"/>
  <c r="U4" i="3" s="1"/>
  <c r="Y4" i="3" s="1"/>
  <c r="H4" i="3"/>
  <c r="F4" i="3"/>
  <c r="E4" i="3"/>
  <c r="A2" i="3"/>
  <c r="L22" i="2"/>
  <c r="K22" i="2"/>
  <c r="J22" i="2"/>
  <c r="I22" i="2"/>
  <c r="H22" i="2"/>
  <c r="G22" i="2"/>
  <c r="F22" i="2"/>
  <c r="E22" i="2"/>
  <c r="F19" i="2"/>
  <c r="D9" i="2" s="1"/>
  <c r="E17" i="2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E16" i="2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E15" i="2"/>
  <c r="F15" i="2" s="1"/>
  <c r="E14" i="2"/>
  <c r="E13" i="2"/>
  <c r="F13" i="2" s="1"/>
  <c r="G13" i="2" s="1"/>
  <c r="F10" i="2"/>
  <c r="K5" i="2"/>
  <c r="O5" i="2" s="1"/>
  <c r="S5" i="2" s="1"/>
  <c r="J5" i="2"/>
  <c r="I5" i="2"/>
  <c r="M5" i="2" s="1"/>
  <c r="Q5" i="2" s="1"/>
  <c r="U5" i="2" s="1"/>
  <c r="H5" i="2"/>
  <c r="L5" i="2" s="1"/>
  <c r="P5" i="2" s="1"/>
  <c r="E73" i="1"/>
  <c r="E72" i="1"/>
  <c r="E71" i="1"/>
  <c r="E70" i="1"/>
  <c r="E69" i="1"/>
  <c r="E68" i="1"/>
  <c r="D38" i="4" l="1"/>
  <c r="F18" i="4"/>
  <c r="F26" i="9"/>
  <c r="D32" i="6"/>
  <c r="D39" i="6" s="1"/>
  <c r="D59" i="4" s="1"/>
  <c r="D51" i="4"/>
  <c r="D21" i="4"/>
  <c r="V14" i="3"/>
  <c r="V16" i="4" s="1"/>
  <c r="G17" i="5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D34" i="3"/>
  <c r="G20" i="5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T20" i="5" s="1"/>
  <c r="U20" i="5" s="1"/>
  <c r="V20" i="5" s="1"/>
  <c r="W20" i="5" s="1"/>
  <c r="X20" i="5" s="1"/>
  <c r="Y20" i="5" s="1"/>
  <c r="Z20" i="5" s="1"/>
  <c r="AA20" i="5" s="1"/>
  <c r="D60" i="6"/>
  <c r="E60" i="6" s="1"/>
  <c r="F60" i="6" s="1"/>
  <c r="V12" i="3"/>
  <c r="W12" i="3" s="1"/>
  <c r="X12" i="3" s="1"/>
  <c r="X18" i="3" s="1"/>
  <c r="C32" i="7"/>
  <c r="C35" i="7" s="1"/>
  <c r="I15" i="3"/>
  <c r="I21" i="3" s="1"/>
  <c r="I17" i="4" s="1"/>
  <c r="F9" i="2"/>
  <c r="F8" i="4" s="1"/>
  <c r="F49" i="4" s="1"/>
  <c r="E10" i="2"/>
  <c r="F11" i="2"/>
  <c r="I13" i="3"/>
  <c r="J13" i="3" s="1"/>
  <c r="H26" i="9"/>
  <c r="G11" i="5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G107" i="8"/>
  <c r="E9" i="2"/>
  <c r="E8" i="3" s="1"/>
  <c r="E27" i="3" s="1"/>
  <c r="G19" i="2"/>
  <c r="J11" i="2" s="1"/>
  <c r="D35" i="3"/>
  <c r="Q28" i="9"/>
  <c r="D60" i="4"/>
  <c r="E11" i="2"/>
  <c r="Y5" i="2"/>
  <c r="V15" i="3"/>
  <c r="E18" i="4"/>
  <c r="T5" i="2"/>
  <c r="E22" i="3"/>
  <c r="F14" i="2"/>
  <c r="G22" i="3"/>
  <c r="F42" i="5"/>
  <c r="G15" i="2"/>
  <c r="D11" i="2"/>
  <c r="D10" i="2"/>
  <c r="G10" i="2"/>
  <c r="G9" i="2"/>
  <c r="G11" i="2"/>
  <c r="G4" i="3"/>
  <c r="J4" i="3"/>
  <c r="N4" i="3" s="1"/>
  <c r="R4" i="3" s="1"/>
  <c r="V4" i="3" s="1"/>
  <c r="Z4" i="3" s="1"/>
  <c r="I12" i="3"/>
  <c r="U14" i="4"/>
  <c r="U15" i="4"/>
  <c r="H22" i="3"/>
  <c r="G42" i="5"/>
  <c r="H13" i="2"/>
  <c r="E25" i="5"/>
  <c r="I4" i="5"/>
  <c r="M4" i="5" s="1"/>
  <c r="Q4" i="5" s="1"/>
  <c r="U4" i="5" s="1"/>
  <c r="Y4" i="5" s="1"/>
  <c r="F4" i="5"/>
  <c r="G18" i="4"/>
  <c r="D14" i="4"/>
  <c r="D22" i="3"/>
  <c r="H18" i="4"/>
  <c r="D33" i="3"/>
  <c r="D36" i="3"/>
  <c r="D17" i="4"/>
  <c r="W5" i="2"/>
  <c r="D67" i="10"/>
  <c r="D160" i="10" s="1"/>
  <c r="AF5" i="3"/>
  <c r="W13" i="3"/>
  <c r="D15" i="4"/>
  <c r="J4" i="4"/>
  <c r="C102" i="10"/>
  <c r="G19" i="5"/>
  <c r="D103" i="10"/>
  <c r="E40" i="5"/>
  <c r="I4" i="6"/>
  <c r="M4" i="6" s="1"/>
  <c r="Q4" i="6" s="1"/>
  <c r="U4" i="6" s="1"/>
  <c r="Y4" i="6" s="1"/>
  <c r="F4" i="6"/>
  <c r="N5" i="2"/>
  <c r="C67" i="10"/>
  <c r="C160" i="10" s="1"/>
  <c r="D101" i="10"/>
  <c r="E38" i="5"/>
  <c r="E42" i="5"/>
  <c r="I14" i="3"/>
  <c r="AF5" i="4"/>
  <c r="D97" i="10"/>
  <c r="B93" i="10"/>
  <c r="E21" i="5"/>
  <c r="F10" i="5"/>
  <c r="C99" i="10"/>
  <c r="G16" i="5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F5" i="6"/>
  <c r="D98" i="10"/>
  <c r="C70" i="6"/>
  <c r="C93" i="6" s="1"/>
  <c r="AE5" i="5"/>
  <c r="F15" i="5"/>
  <c r="H78" i="6"/>
  <c r="H70" i="6"/>
  <c r="H93" i="6" s="1"/>
  <c r="S3" i="5"/>
  <c r="B101" i="10"/>
  <c r="F18" i="5"/>
  <c r="C80" i="6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G14" i="5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H79" i="6"/>
  <c r="G88" i="6"/>
  <c r="AC71" i="8"/>
  <c r="AG88" i="8"/>
  <c r="AG87" i="8"/>
  <c r="AG83" i="8"/>
  <c r="AG84" i="8" s="1"/>
  <c r="AG79" i="8"/>
  <c r="AG89" i="8"/>
  <c r="AG63" i="8"/>
  <c r="AG59" i="8"/>
  <c r="AG48" i="8"/>
  <c r="AG77" i="8"/>
  <c r="AG76" i="8"/>
  <c r="AG72" i="8"/>
  <c r="AG62" i="8"/>
  <c r="AG49" i="8"/>
  <c r="AG73" i="8"/>
  <c r="AG53" i="8"/>
  <c r="AG75" i="8"/>
  <c r="AG56" i="8"/>
  <c r="AG78" i="8"/>
  <c r="AG74" i="8"/>
  <c r="AG71" i="8"/>
  <c r="AG44" i="8"/>
  <c r="AG43" i="8"/>
  <c r="AH5" i="8"/>
  <c r="D43" i="10"/>
  <c r="C41" i="10" s="1"/>
  <c r="C43" i="10" s="1"/>
  <c r="C95" i="6"/>
  <c r="G4" i="7"/>
  <c r="J4" i="7"/>
  <c r="N4" i="7" s="1"/>
  <c r="R4" i="7" s="1"/>
  <c r="V4" i="7" s="1"/>
  <c r="Z4" i="7" s="1"/>
  <c r="E9" i="7"/>
  <c r="AE44" i="8"/>
  <c r="AE5" i="7"/>
  <c r="E13" i="7"/>
  <c r="F17" i="7"/>
  <c r="AF43" i="8"/>
  <c r="AF89" i="8"/>
  <c r="AF88" i="8"/>
  <c r="AF87" i="8"/>
  <c r="AF83" i="8"/>
  <c r="AF84" i="8" s="1"/>
  <c r="AF79" i="8"/>
  <c r="AF75" i="8"/>
  <c r="AF72" i="8"/>
  <c r="AF78" i="8"/>
  <c r="AF77" i="8"/>
  <c r="AF74" i="8"/>
  <c r="AF71" i="8"/>
  <c r="AF63" i="8"/>
  <c r="AF59" i="8"/>
  <c r="AF48" i="8"/>
  <c r="AF73" i="8"/>
  <c r="AF53" i="8"/>
  <c r="AF44" i="8"/>
  <c r="AF56" i="8"/>
  <c r="AF76" i="8"/>
  <c r="AF62" i="8"/>
  <c r="AF49" i="8"/>
  <c r="G3" i="8"/>
  <c r="AC77" i="8"/>
  <c r="AC89" i="8"/>
  <c r="AC87" i="8"/>
  <c r="AC88" i="8"/>
  <c r="AC44" i="8"/>
  <c r="AC83" i="8"/>
  <c r="AC84" i="8" s="1"/>
  <c r="AC73" i="8"/>
  <c r="AC63" i="8"/>
  <c r="AC59" i="8"/>
  <c r="AC53" i="8"/>
  <c r="AC48" i="8"/>
  <c r="AC43" i="8"/>
  <c r="AC78" i="8"/>
  <c r="AC74" i="8"/>
  <c r="AC56" i="8"/>
  <c r="AC76" i="8"/>
  <c r="AC62" i="8"/>
  <c r="AC49" i="8"/>
  <c r="AC75" i="8"/>
  <c r="AC72" i="8"/>
  <c r="AD89" i="8"/>
  <c r="AD88" i="8"/>
  <c r="AD87" i="8"/>
  <c r="AD83" i="8"/>
  <c r="AD84" i="8" s="1"/>
  <c r="AD77" i="8"/>
  <c r="AD76" i="8"/>
  <c r="AD75" i="8"/>
  <c r="AD74" i="8"/>
  <c r="AD73" i="8"/>
  <c r="AD72" i="8"/>
  <c r="AD71" i="8"/>
  <c r="AD63" i="8"/>
  <c r="AD62" i="8"/>
  <c r="AD59" i="8"/>
  <c r="AD56" i="8"/>
  <c r="AD53" i="8"/>
  <c r="AD49" i="8"/>
  <c r="AD48" i="8"/>
  <c r="AD78" i="8"/>
  <c r="AD44" i="8"/>
  <c r="AD79" i="8"/>
  <c r="AD43" i="8"/>
  <c r="D106" i="8"/>
  <c r="AC79" i="8"/>
  <c r="AE89" i="8"/>
  <c r="AE88" i="8"/>
  <c r="AE87" i="8"/>
  <c r="AE83" i="8"/>
  <c r="AE84" i="8" s="1"/>
  <c r="AE79" i="8"/>
  <c r="AE78" i="8"/>
  <c r="AE77" i="8"/>
  <c r="AE76" i="8"/>
  <c r="AE75" i="8"/>
  <c r="AE74" i="8"/>
  <c r="AE73" i="8"/>
  <c r="AE72" i="8"/>
  <c r="AE71" i="8"/>
  <c r="AE63" i="8"/>
  <c r="AE62" i="8"/>
  <c r="AE59" i="8"/>
  <c r="AE56" i="8"/>
  <c r="AE53" i="8"/>
  <c r="AE49" i="8"/>
  <c r="AE48" i="8"/>
  <c r="AE43" i="8"/>
  <c r="H34" i="8"/>
  <c r="F107" i="8"/>
  <c r="I105" i="8"/>
  <c r="H107" i="8"/>
  <c r="E107" i="8"/>
  <c r="G46" i="9"/>
  <c r="G34" i="9" s="1"/>
  <c r="G33" i="9" s="1"/>
  <c r="G20" i="9"/>
  <c r="D107" i="8"/>
  <c r="M20" i="9"/>
  <c r="J34" i="9"/>
  <c r="J33" i="9" s="1"/>
  <c r="L46" i="9"/>
  <c r="L34" i="9" s="1"/>
  <c r="L33" i="9" s="1"/>
  <c r="E20" i="9"/>
  <c r="Q21" i="9"/>
  <c r="L20" i="9"/>
  <c r="E26" i="9"/>
  <c r="Q27" i="9"/>
  <c r="N46" i="9"/>
  <c r="N34" i="9" s="1"/>
  <c r="N33" i="9" s="1"/>
  <c r="N20" i="9"/>
  <c r="H46" i="9"/>
  <c r="H34" i="9" s="1"/>
  <c r="H33" i="9" s="1"/>
  <c r="H20" i="9"/>
  <c r="I46" i="9"/>
  <c r="I34" i="9" s="1"/>
  <c r="I33" i="9" s="1"/>
  <c r="J26" i="9"/>
  <c r="I26" i="9"/>
  <c r="F46" i="9"/>
  <c r="F34" i="9" s="1"/>
  <c r="F33" i="9" s="1"/>
  <c r="O46" i="9"/>
  <c r="O34" i="9" s="1"/>
  <c r="O33" i="9" s="1"/>
  <c r="Q29" i="9"/>
  <c r="E46" i="9"/>
  <c r="E34" i="9" s="1"/>
  <c r="E30" i="9"/>
  <c r="Q30" i="9" s="1"/>
  <c r="K23" i="10"/>
  <c r="D83" i="8" l="1"/>
  <c r="D101" i="8" s="1"/>
  <c r="D37" i="4"/>
  <c r="D33" i="6"/>
  <c r="D57" i="6" s="1"/>
  <c r="D68" i="6" s="1"/>
  <c r="D30" i="7"/>
  <c r="E31" i="7" s="1"/>
  <c r="D36" i="4"/>
  <c r="H10" i="2"/>
  <c r="H11" i="2"/>
  <c r="V18" i="3"/>
  <c r="V14" i="4" s="1"/>
  <c r="W14" i="3"/>
  <c r="X14" i="3" s="1"/>
  <c r="D39" i="4"/>
  <c r="E28" i="6"/>
  <c r="F28" i="6" s="1"/>
  <c r="G28" i="6" s="1"/>
  <c r="E22" i="6"/>
  <c r="F22" i="6" s="1"/>
  <c r="G22" i="6" s="1"/>
  <c r="E23" i="6"/>
  <c r="F23" i="6" s="1"/>
  <c r="G23" i="6" s="1"/>
  <c r="E27" i="6"/>
  <c r="F27" i="6" s="1"/>
  <c r="G27" i="6" s="1"/>
  <c r="E29" i="3"/>
  <c r="E36" i="3" s="1"/>
  <c r="E29" i="6"/>
  <c r="F29" i="6" s="1"/>
  <c r="G29" i="6" s="1"/>
  <c r="J15" i="3"/>
  <c r="J17" i="4" s="1"/>
  <c r="K9" i="2"/>
  <c r="K8" i="3" s="1"/>
  <c r="E25" i="6"/>
  <c r="F25" i="6" s="1"/>
  <c r="G25" i="6" s="1"/>
  <c r="E26" i="3"/>
  <c r="E33" i="3" s="1"/>
  <c r="K11" i="2"/>
  <c r="I11" i="2"/>
  <c r="J10" i="2"/>
  <c r="H9" i="2"/>
  <c r="H8" i="4" s="1"/>
  <c r="U18" i="4"/>
  <c r="Y12" i="3"/>
  <c r="Z12" i="3" s="1"/>
  <c r="W18" i="3"/>
  <c r="W14" i="4" s="1"/>
  <c r="J9" i="2"/>
  <c r="J8" i="3" s="1"/>
  <c r="I9" i="2"/>
  <c r="I19" i="3"/>
  <c r="I15" i="4" s="1"/>
  <c r="K10" i="2"/>
  <c r="E8" i="4"/>
  <c r="E24" i="6"/>
  <c r="F24" i="6" s="1"/>
  <c r="G24" i="6" s="1"/>
  <c r="F8" i="3"/>
  <c r="F27" i="3" s="1"/>
  <c r="E28" i="3"/>
  <c r="E35" i="3" s="1"/>
  <c r="E21" i="6"/>
  <c r="E31" i="6"/>
  <c r="F31" i="6" s="1"/>
  <c r="G31" i="6" s="1"/>
  <c r="E30" i="6"/>
  <c r="F30" i="6" s="1"/>
  <c r="G30" i="6" s="1"/>
  <c r="H19" i="2"/>
  <c r="N9" i="2" s="1"/>
  <c r="I10" i="2"/>
  <c r="E26" i="6"/>
  <c r="F26" i="6" s="1"/>
  <c r="G26" i="6" s="1"/>
  <c r="Q26" i="9"/>
  <c r="AG80" i="8"/>
  <c r="AF80" i="8"/>
  <c r="AE80" i="8"/>
  <c r="D37" i="3"/>
  <c r="AC90" i="8"/>
  <c r="AG64" i="8"/>
  <c r="AG51" i="8"/>
  <c r="F164" i="10" s="1"/>
  <c r="AG45" i="8"/>
  <c r="AG50" i="8" s="1"/>
  <c r="AG54" i="8" s="1"/>
  <c r="AG57" i="8" s="1"/>
  <c r="AG66" i="8" s="1"/>
  <c r="AG46" i="8"/>
  <c r="K4" i="3"/>
  <c r="D8" i="4"/>
  <c r="D9" i="4" s="1"/>
  <c r="D8" i="3"/>
  <c r="AF64" i="8"/>
  <c r="AF51" i="8"/>
  <c r="E164" i="10" s="1"/>
  <c r="AF46" i="8"/>
  <c r="AF45" i="8"/>
  <c r="AF50" i="8" s="1"/>
  <c r="AF54" i="8" s="1"/>
  <c r="AF57" i="8" s="1"/>
  <c r="AF66" i="8" s="1"/>
  <c r="F13" i="7"/>
  <c r="AG90" i="8"/>
  <c r="G60" i="6"/>
  <c r="C101" i="10"/>
  <c r="G18" i="5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C98" i="10"/>
  <c r="G15" i="5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D10" i="8"/>
  <c r="E44" i="5"/>
  <c r="E46" i="5"/>
  <c r="AA5" i="2"/>
  <c r="F47" i="6"/>
  <c r="C32" i="10" s="1"/>
  <c r="X5" i="2"/>
  <c r="J15" i="4"/>
  <c r="K13" i="3"/>
  <c r="H42" i="5"/>
  <c r="I13" i="2"/>
  <c r="I20" i="3"/>
  <c r="J14" i="3"/>
  <c r="D46" i="9"/>
  <c r="I107" i="8"/>
  <c r="J105" i="8"/>
  <c r="AD80" i="8"/>
  <c r="AF90" i="8"/>
  <c r="AF5" i="7"/>
  <c r="F9" i="7"/>
  <c r="C46" i="10"/>
  <c r="H80" i="6"/>
  <c r="AF5" i="5"/>
  <c r="C93" i="10"/>
  <c r="F21" i="5"/>
  <c r="G10" i="5"/>
  <c r="E67" i="10"/>
  <c r="E160" i="10" s="1"/>
  <c r="AG5" i="3"/>
  <c r="D18" i="4"/>
  <c r="U22" i="3"/>
  <c r="G8" i="3"/>
  <c r="G8" i="4"/>
  <c r="G14" i="2"/>
  <c r="E33" i="9"/>
  <c r="Q33" i="9" s="1"/>
  <c r="Q34" i="9"/>
  <c r="AC64" i="8"/>
  <c r="AC46" i="8"/>
  <c r="AC51" i="8"/>
  <c r="AC45" i="8"/>
  <c r="AC50" i="8" s="1"/>
  <c r="AC54" i="8" s="1"/>
  <c r="AC57" i="8" s="1"/>
  <c r="AC66" i="8" s="1"/>
  <c r="K3" i="8"/>
  <c r="G17" i="7"/>
  <c r="AC80" i="8"/>
  <c r="W3" i="5"/>
  <c r="AG5" i="6"/>
  <c r="B104" i="10"/>
  <c r="E14" i="6"/>
  <c r="E13" i="6"/>
  <c r="E12" i="6"/>
  <c r="E11" i="6"/>
  <c r="E10" i="6"/>
  <c r="E61" i="4"/>
  <c r="R5" i="2"/>
  <c r="J4" i="6"/>
  <c r="N4" i="6" s="1"/>
  <c r="R4" i="6" s="1"/>
  <c r="V4" i="6" s="1"/>
  <c r="Z4" i="6" s="1"/>
  <c r="G4" i="6"/>
  <c r="H19" i="5"/>
  <c r="D94" i="10"/>
  <c r="H15" i="2"/>
  <c r="X14" i="4"/>
  <c r="D108" i="8"/>
  <c r="G108" i="8"/>
  <c r="F108" i="8"/>
  <c r="H108" i="8"/>
  <c r="E108" i="8"/>
  <c r="X13" i="3"/>
  <c r="L23" i="10"/>
  <c r="Q20" i="9"/>
  <c r="I34" i="8"/>
  <c r="AE64" i="8"/>
  <c r="AE51" i="8"/>
  <c r="D164" i="10" s="1"/>
  <c r="AE46" i="8"/>
  <c r="AE45" i="8"/>
  <c r="AE50" i="8" s="1"/>
  <c r="AE54" i="8" s="1"/>
  <c r="AE57" i="8" s="1"/>
  <c r="AE66" i="8" s="1"/>
  <c r="AE90" i="8"/>
  <c r="AD64" i="8"/>
  <c r="AD51" i="8"/>
  <c r="C164" i="10" s="1"/>
  <c r="AD46" i="8"/>
  <c r="AD45" i="8"/>
  <c r="AD50" i="8" s="1"/>
  <c r="AD54" i="8" s="1"/>
  <c r="AD57" i="8" s="1"/>
  <c r="AD66" i="8" s="1"/>
  <c r="AD90" i="8"/>
  <c r="K4" i="7"/>
  <c r="O4" i="7" s="1"/>
  <c r="S4" i="7" s="1"/>
  <c r="W4" i="7" s="1"/>
  <c r="AA4" i="7" s="1"/>
  <c r="G3" i="7"/>
  <c r="AH88" i="8"/>
  <c r="AH87" i="8"/>
  <c r="AH83" i="8"/>
  <c r="AH84" i="8" s="1"/>
  <c r="AH79" i="8"/>
  <c r="AH78" i="8"/>
  <c r="AH77" i="8"/>
  <c r="AH74" i="8"/>
  <c r="AH71" i="8"/>
  <c r="AH63" i="8"/>
  <c r="AH59" i="8"/>
  <c r="AH89" i="8"/>
  <c r="AH76" i="8"/>
  <c r="AH73" i="8"/>
  <c r="AH62" i="8"/>
  <c r="AH72" i="8"/>
  <c r="AH49" i="8"/>
  <c r="AH48" i="8"/>
  <c r="AH44" i="8"/>
  <c r="AH43" i="8"/>
  <c r="AH75" i="8"/>
  <c r="AH56" i="8"/>
  <c r="AH53" i="8"/>
  <c r="H88" i="6"/>
  <c r="AG5" i="4"/>
  <c r="N4" i="4"/>
  <c r="G4" i="5"/>
  <c r="J4" i="5"/>
  <c r="N4" i="5" s="1"/>
  <c r="R4" i="5" s="1"/>
  <c r="V4" i="5" s="1"/>
  <c r="Z4" i="5" s="1"/>
  <c r="E26" i="5"/>
  <c r="E27" i="5"/>
  <c r="I18" i="3"/>
  <c r="J12" i="3"/>
  <c r="V17" i="4"/>
  <c r="W15" i="3"/>
  <c r="E34" i="3"/>
  <c r="D58" i="6" l="1"/>
  <c r="D69" i="6" s="1"/>
  <c r="D70" i="6" s="1"/>
  <c r="E22" i="4"/>
  <c r="F22" i="4" s="1"/>
  <c r="G22" i="4" s="1"/>
  <c r="D84" i="8"/>
  <c r="D40" i="4"/>
  <c r="D43" i="4" s="1"/>
  <c r="D32" i="7"/>
  <c r="D17" i="8" s="1"/>
  <c r="D75" i="8" s="1"/>
  <c r="K15" i="3"/>
  <c r="H8" i="3"/>
  <c r="H30" i="6"/>
  <c r="I30" i="6" s="1"/>
  <c r="J30" i="6" s="1"/>
  <c r="K30" i="6" s="1"/>
  <c r="K8" i="4"/>
  <c r="J8" i="4"/>
  <c r="N11" i="2"/>
  <c r="W16" i="4"/>
  <c r="H22" i="6"/>
  <c r="I22" i="6" s="1"/>
  <c r="J22" i="6" s="1"/>
  <c r="K22" i="6" s="1"/>
  <c r="N10" i="2"/>
  <c r="E30" i="3"/>
  <c r="H28" i="6"/>
  <c r="I28" i="6" s="1"/>
  <c r="J28" i="6" s="1"/>
  <c r="K28" i="6" s="1"/>
  <c r="F28" i="3"/>
  <c r="G28" i="3" s="1"/>
  <c r="H25" i="6"/>
  <c r="I25" i="6" s="1"/>
  <c r="J25" i="6" s="1"/>
  <c r="K25" i="6" s="1"/>
  <c r="H23" i="6"/>
  <c r="I23" i="6" s="1"/>
  <c r="J23" i="6" s="1"/>
  <c r="K23" i="6" s="1"/>
  <c r="Y18" i="3"/>
  <c r="Y14" i="4" s="1"/>
  <c r="F29" i="3"/>
  <c r="F36" i="3" s="1"/>
  <c r="E23" i="4"/>
  <c r="F23" i="4" s="1"/>
  <c r="G23" i="4" s="1"/>
  <c r="H23" i="4" s="1"/>
  <c r="E52" i="4"/>
  <c r="E62" i="4"/>
  <c r="F62" i="4" s="1"/>
  <c r="G62" i="4" s="1"/>
  <c r="H62" i="4" s="1"/>
  <c r="E9" i="4"/>
  <c r="F9" i="4" s="1"/>
  <c r="G9" i="4" s="1"/>
  <c r="H9" i="4" s="1"/>
  <c r="E53" i="4"/>
  <c r="F53" i="4" s="1"/>
  <c r="G53" i="4" s="1"/>
  <c r="F26" i="3"/>
  <c r="G26" i="3" s="1"/>
  <c r="H27" i="6"/>
  <c r="I27" i="6" s="1"/>
  <c r="J27" i="6" s="1"/>
  <c r="K27" i="6" s="1"/>
  <c r="H26" i="6"/>
  <c r="I26" i="6" s="1"/>
  <c r="J26" i="6" s="1"/>
  <c r="K26" i="6" s="1"/>
  <c r="H31" i="6"/>
  <c r="I31" i="6" s="1"/>
  <c r="J31" i="6" s="1"/>
  <c r="K31" i="6" s="1"/>
  <c r="H29" i="6"/>
  <c r="I29" i="6" s="1"/>
  <c r="J29" i="6" s="1"/>
  <c r="K29" i="6" s="1"/>
  <c r="I8" i="4"/>
  <c r="I8" i="3"/>
  <c r="X38" i="6"/>
  <c r="X53" i="8" s="1"/>
  <c r="X72" i="8" s="1"/>
  <c r="X99" i="8" s="1"/>
  <c r="I19" i="2"/>
  <c r="S11" i="2" s="1"/>
  <c r="L11" i="2"/>
  <c r="M10" i="2"/>
  <c r="M11" i="2"/>
  <c r="O11" i="2"/>
  <c r="M9" i="2"/>
  <c r="L9" i="2"/>
  <c r="O10" i="2"/>
  <c r="L10" i="2"/>
  <c r="O9" i="2"/>
  <c r="AG91" i="8"/>
  <c r="AE91" i="8"/>
  <c r="AF91" i="8"/>
  <c r="K4" i="5"/>
  <c r="O4" i="5" s="1"/>
  <c r="S4" i="5" s="1"/>
  <c r="W4" i="5" s="1"/>
  <c r="AA4" i="5" s="1"/>
  <c r="AC18" i="5"/>
  <c r="AD17" i="5"/>
  <c r="AD16" i="5"/>
  <c r="AD18" i="5"/>
  <c r="AC53" i="5"/>
  <c r="AC15" i="5"/>
  <c r="AC17" i="5"/>
  <c r="AD14" i="5"/>
  <c r="AC10" i="5"/>
  <c r="D43" i="8"/>
  <c r="D21" i="7"/>
  <c r="D63" i="4"/>
  <c r="D45" i="4"/>
  <c r="D14" i="7"/>
  <c r="T38" i="6"/>
  <c r="T53" i="8" s="1"/>
  <c r="T72" i="8" s="1"/>
  <c r="T99" i="8" s="1"/>
  <c r="S38" i="6"/>
  <c r="S53" i="8" s="1"/>
  <c r="S72" i="8" s="1"/>
  <c r="S99" i="8" s="1"/>
  <c r="I14" i="4"/>
  <c r="I22" i="3"/>
  <c r="D95" i="10"/>
  <c r="E39" i="5"/>
  <c r="E35" i="5"/>
  <c r="W15" i="4"/>
  <c r="H14" i="2"/>
  <c r="AE14" i="5"/>
  <c r="K14" i="3"/>
  <c r="J16" i="4"/>
  <c r="E51" i="5"/>
  <c r="O4" i="3"/>
  <c r="Z38" i="6"/>
  <c r="Z53" i="8" s="1"/>
  <c r="Z72" i="8" s="1"/>
  <c r="Z99" i="8" s="1"/>
  <c r="Y38" i="6"/>
  <c r="Y53" i="8" s="1"/>
  <c r="Y72" i="8" s="1"/>
  <c r="Y99" i="8" s="1"/>
  <c r="V22" i="3"/>
  <c r="AH46" i="8"/>
  <c r="AH51" i="8"/>
  <c r="G164" i="10" s="1"/>
  <c r="AH45" i="8"/>
  <c r="AH50" i="8" s="1"/>
  <c r="AH54" i="8" s="1"/>
  <c r="AH57" i="8" s="1"/>
  <c r="AH66" i="8" s="1"/>
  <c r="AH64" i="8"/>
  <c r="M23" i="10"/>
  <c r="N8" i="3"/>
  <c r="N8" i="4"/>
  <c r="AA3" i="5"/>
  <c r="AC19" i="5"/>
  <c r="G21" i="5"/>
  <c r="H10" i="5"/>
  <c r="AE18" i="5"/>
  <c r="I16" i="4"/>
  <c r="L13" i="3"/>
  <c r="H60" i="6"/>
  <c r="I60" i="6" s="1"/>
  <c r="J60" i="6" s="1"/>
  <c r="K60" i="6" s="1"/>
  <c r="L60" i="6" s="1"/>
  <c r="M60" i="6" s="1"/>
  <c r="N60" i="6" s="1"/>
  <c r="O60" i="6" s="1"/>
  <c r="P60" i="6" s="1"/>
  <c r="Q60" i="6" s="1"/>
  <c r="R60" i="6" s="1"/>
  <c r="S60" i="6" s="1"/>
  <c r="T60" i="6" s="1"/>
  <c r="U60" i="6" s="1"/>
  <c r="V60" i="6" s="1"/>
  <c r="W60" i="6" s="1"/>
  <c r="X60" i="6" s="1"/>
  <c r="Y60" i="6" s="1"/>
  <c r="Z60" i="6" s="1"/>
  <c r="AA60" i="6" s="1"/>
  <c r="V38" i="6"/>
  <c r="V53" i="8" s="1"/>
  <c r="V72" i="8" s="1"/>
  <c r="V99" i="8" s="1"/>
  <c r="E32" i="6"/>
  <c r="E38" i="6"/>
  <c r="R38" i="6"/>
  <c r="R53" i="8" s="1"/>
  <c r="R72" i="8" s="1"/>
  <c r="R99" i="8" s="1"/>
  <c r="K12" i="3"/>
  <c r="J18" i="3"/>
  <c r="O3" i="8"/>
  <c r="AF17" i="5"/>
  <c r="AF18" i="5"/>
  <c r="AF14" i="5"/>
  <c r="AG5" i="5"/>
  <c r="AF15" i="5"/>
  <c r="AF16" i="5"/>
  <c r="AF20" i="5"/>
  <c r="E49" i="5"/>
  <c r="J38" i="6"/>
  <c r="J53" i="8" s="1"/>
  <c r="J72" i="8" s="1"/>
  <c r="J99" i="8" s="1"/>
  <c r="F38" i="6"/>
  <c r="F53" i="8" s="1"/>
  <c r="F72" i="8" s="1"/>
  <c r="F99" i="8" s="1"/>
  <c r="V5" i="2"/>
  <c r="AG5" i="7"/>
  <c r="AD20" i="5"/>
  <c r="O38" i="6"/>
  <c r="O53" i="8" s="1"/>
  <c r="O72" i="8" s="1"/>
  <c r="O99" i="8" s="1"/>
  <c r="L38" i="6"/>
  <c r="L53" i="8" s="1"/>
  <c r="L72" i="8" s="1"/>
  <c r="L99" i="8" s="1"/>
  <c r="F34" i="3"/>
  <c r="G27" i="3"/>
  <c r="AC20" i="5"/>
  <c r="V18" i="4"/>
  <c r="AG42" i="4"/>
  <c r="F140" i="10" s="1"/>
  <c r="AH5" i="4"/>
  <c r="I88" i="6"/>
  <c r="AH80" i="8"/>
  <c r="AH90" i="8"/>
  <c r="AD91" i="8"/>
  <c r="J34" i="8"/>
  <c r="H17" i="7"/>
  <c r="AC17" i="7"/>
  <c r="E37" i="3"/>
  <c r="AA12" i="3"/>
  <c r="AA18" i="3" s="1"/>
  <c r="Z18" i="3"/>
  <c r="AC16" i="5"/>
  <c r="C104" i="10"/>
  <c r="F14" i="6"/>
  <c r="F13" i="6"/>
  <c r="F12" i="6"/>
  <c r="F10" i="6"/>
  <c r="F61" i="4"/>
  <c r="F11" i="6"/>
  <c r="AE15" i="5"/>
  <c r="AE20" i="5"/>
  <c r="G49" i="4"/>
  <c r="AC91" i="8"/>
  <c r="AC94" i="8" s="1"/>
  <c r="AD93" i="8" s="1"/>
  <c r="U38" i="6"/>
  <c r="U53" i="8" s="1"/>
  <c r="U72" i="8" s="1"/>
  <c r="U99" i="8" s="1"/>
  <c r="P38" i="6"/>
  <c r="P53" i="8" s="1"/>
  <c r="P72" i="8" s="1"/>
  <c r="P99" i="8" s="1"/>
  <c r="K38" i="6"/>
  <c r="K53" i="8" s="1"/>
  <c r="K72" i="8" s="1"/>
  <c r="K99" i="8" s="1"/>
  <c r="I19" i="5"/>
  <c r="D96" i="10"/>
  <c r="Y13" i="3"/>
  <c r="X15" i="3"/>
  <c r="W17" i="4"/>
  <c r="R4" i="4"/>
  <c r="V4" i="4" s="1"/>
  <c r="Z4" i="4" s="1"/>
  <c r="AC16" i="4"/>
  <c r="AD42" i="4"/>
  <c r="C140" i="10" s="1"/>
  <c r="I15" i="2"/>
  <c r="AC15" i="4"/>
  <c r="AC14" i="5"/>
  <c r="AD15" i="5"/>
  <c r="AC58" i="4"/>
  <c r="B110" i="10" s="1"/>
  <c r="G13" i="7"/>
  <c r="AC13" i="7" s="1"/>
  <c r="I38" i="6"/>
  <c r="I53" i="8" s="1"/>
  <c r="I72" i="8" s="1"/>
  <c r="I99" i="8" s="1"/>
  <c r="H38" i="6"/>
  <c r="Q38" i="6"/>
  <c r="Q53" i="8" s="1"/>
  <c r="Q72" i="8" s="1"/>
  <c r="Q99" i="8" s="1"/>
  <c r="G38" i="6"/>
  <c r="G53" i="8" s="1"/>
  <c r="G72" i="8" s="1"/>
  <c r="G99" i="8" s="1"/>
  <c r="AC42" i="5"/>
  <c r="H24" i="6"/>
  <c r="K3" i="7"/>
  <c r="I108" i="8"/>
  <c r="K4" i="6"/>
  <c r="G3" i="6"/>
  <c r="AH5" i="6"/>
  <c r="Y14" i="3"/>
  <c r="X16" i="4"/>
  <c r="F67" i="10"/>
  <c r="F160" i="10" s="1"/>
  <c r="AH5" i="3"/>
  <c r="W53" i="5" s="1"/>
  <c r="W58" i="4" s="1"/>
  <c r="AE16" i="5"/>
  <c r="AE17" i="5"/>
  <c r="G9" i="7"/>
  <c r="J107" i="8"/>
  <c r="K105" i="8"/>
  <c r="I42" i="5"/>
  <c r="J13" i="2"/>
  <c r="AA38" i="6"/>
  <c r="AA53" i="8" s="1"/>
  <c r="AA72" i="8" s="1"/>
  <c r="AA99" i="8" s="1"/>
  <c r="N38" i="6"/>
  <c r="N53" i="8" s="1"/>
  <c r="N72" i="8" s="1"/>
  <c r="N99" i="8" s="1"/>
  <c r="W38" i="6"/>
  <c r="W53" i="8" s="1"/>
  <c r="W72" i="8" s="1"/>
  <c r="W99" i="8" s="1"/>
  <c r="M38" i="6"/>
  <c r="M53" i="8" s="1"/>
  <c r="M72" i="8" s="1"/>
  <c r="M99" i="8" s="1"/>
  <c r="D62" i="6" l="1"/>
  <c r="D79" i="6"/>
  <c r="D135" i="8"/>
  <c r="E39" i="4"/>
  <c r="E37" i="4"/>
  <c r="E38" i="4"/>
  <c r="L15" i="3"/>
  <c r="F35" i="3"/>
  <c r="E60" i="4"/>
  <c r="E51" i="6" s="1"/>
  <c r="I23" i="4"/>
  <c r="J23" i="4" s="1"/>
  <c r="K23" i="4" s="1"/>
  <c r="L26" i="6"/>
  <c r="M26" i="6" s="1"/>
  <c r="N26" i="6" s="1"/>
  <c r="O26" i="6" s="1"/>
  <c r="F21" i="4"/>
  <c r="F36" i="4" s="1"/>
  <c r="S9" i="2"/>
  <c r="S8" i="3" s="1"/>
  <c r="R10" i="2"/>
  <c r="G29" i="3"/>
  <c r="G36" i="3" s="1"/>
  <c r="E51" i="4"/>
  <c r="E48" i="6" s="1"/>
  <c r="B28" i="10" s="1"/>
  <c r="S10" i="2"/>
  <c r="I9" i="4"/>
  <c r="J9" i="4" s="1"/>
  <c r="K9" i="4" s="1"/>
  <c r="F30" i="3"/>
  <c r="F33" i="3"/>
  <c r="L28" i="6"/>
  <c r="M28" i="6" s="1"/>
  <c r="N28" i="6" s="1"/>
  <c r="O28" i="6" s="1"/>
  <c r="F52" i="4"/>
  <c r="E21" i="4"/>
  <c r="E36" i="4" s="1"/>
  <c r="I53" i="5"/>
  <c r="I58" i="4" s="1"/>
  <c r="U53" i="5"/>
  <c r="U58" i="4" s="1"/>
  <c r="J53" i="5"/>
  <c r="J58" i="4" s="1"/>
  <c r="L27" i="6"/>
  <c r="M27" i="6" s="1"/>
  <c r="N27" i="6" s="1"/>
  <c r="O27" i="6" s="1"/>
  <c r="P53" i="5"/>
  <c r="P58" i="4" s="1"/>
  <c r="T53" i="5"/>
  <c r="T58" i="4" s="1"/>
  <c r="L29" i="6"/>
  <c r="M29" i="6" s="1"/>
  <c r="N29" i="6" s="1"/>
  <c r="O29" i="6" s="1"/>
  <c r="Q53" i="5"/>
  <c r="Q58" i="4" s="1"/>
  <c r="O53" i="5"/>
  <c r="O58" i="4" s="1"/>
  <c r="H53" i="5"/>
  <c r="H58" i="4" s="1"/>
  <c r="L53" i="5"/>
  <c r="L58" i="4" s="1"/>
  <c r="R9" i="2"/>
  <c r="R8" i="3" s="1"/>
  <c r="P9" i="2"/>
  <c r="P10" i="2"/>
  <c r="L23" i="6"/>
  <c r="M23" i="6" s="1"/>
  <c r="N23" i="6" s="1"/>
  <c r="O23" i="6" s="1"/>
  <c r="L30" i="6"/>
  <c r="M30" i="6" s="1"/>
  <c r="N30" i="6" s="1"/>
  <c r="O30" i="6" s="1"/>
  <c r="O8" i="3"/>
  <c r="O8" i="4"/>
  <c r="M8" i="3"/>
  <c r="M8" i="4"/>
  <c r="Y53" i="5"/>
  <c r="Y58" i="4" s="1"/>
  <c r="K53" i="5"/>
  <c r="K58" i="4" s="1"/>
  <c r="X53" i="5"/>
  <c r="X58" i="4" s="1"/>
  <c r="R11" i="2"/>
  <c r="Q11" i="2"/>
  <c r="Q9" i="2"/>
  <c r="Q10" i="2"/>
  <c r="L8" i="4"/>
  <c r="L8" i="3"/>
  <c r="P11" i="2"/>
  <c r="Z53" i="5"/>
  <c r="Z58" i="4" s="1"/>
  <c r="J19" i="2"/>
  <c r="W9" i="2" s="1"/>
  <c r="M53" i="5"/>
  <c r="M58" i="4" s="1"/>
  <c r="L22" i="6"/>
  <c r="M22" i="6" s="1"/>
  <c r="N22" i="6" s="1"/>
  <c r="O22" i="6" s="1"/>
  <c r="L25" i="6"/>
  <c r="M25" i="6" s="1"/>
  <c r="N25" i="6" s="1"/>
  <c r="O25" i="6" s="1"/>
  <c r="L31" i="6"/>
  <c r="M31" i="6" s="1"/>
  <c r="N31" i="6" s="1"/>
  <c r="O31" i="6" s="1"/>
  <c r="AB99" i="8"/>
  <c r="AC62" i="4"/>
  <c r="AD94" i="8"/>
  <c r="AE93" i="8" s="1"/>
  <c r="AE94" i="8" s="1"/>
  <c r="AF93" i="8" s="1"/>
  <c r="AF94" i="8" s="1"/>
  <c r="AG93" i="8" s="1"/>
  <c r="AG94" i="8" s="1"/>
  <c r="AH93" i="8" s="1"/>
  <c r="AH91" i="8"/>
  <c r="Z14" i="4"/>
  <c r="K107" i="8"/>
  <c r="L105" i="8"/>
  <c r="O3" i="7"/>
  <c r="S3" i="7" s="1"/>
  <c r="W3" i="7" s="1"/>
  <c r="AA3" i="7" s="1"/>
  <c r="H53" i="8"/>
  <c r="H72" i="8" s="1"/>
  <c r="H99" i="8" s="1"/>
  <c r="G33" i="3"/>
  <c r="H26" i="3"/>
  <c r="J15" i="2"/>
  <c r="Z13" i="3"/>
  <c r="G47" i="6"/>
  <c r="H49" i="4"/>
  <c r="AC49" i="4"/>
  <c r="B138" i="10" s="1"/>
  <c r="J88" i="6"/>
  <c r="G34" i="3"/>
  <c r="H27" i="3"/>
  <c r="AG18" i="5"/>
  <c r="AG14" i="5"/>
  <c r="AH5" i="5"/>
  <c r="AG15" i="5"/>
  <c r="AG20" i="5"/>
  <c r="AG17" i="5"/>
  <c r="AG16" i="5"/>
  <c r="L12" i="3"/>
  <c r="K18" i="3"/>
  <c r="E83" i="8"/>
  <c r="E33" i="6"/>
  <c r="E30" i="7"/>
  <c r="E39" i="6"/>
  <c r="I10" i="5"/>
  <c r="H21" i="5"/>
  <c r="AA53" i="5"/>
  <c r="AA58" i="4" s="1"/>
  <c r="H53" i="4"/>
  <c r="AC53" i="4"/>
  <c r="AC17" i="4"/>
  <c r="D104" i="10"/>
  <c r="I18" i="4"/>
  <c r="AE42" i="4"/>
  <c r="D140" i="10" s="1"/>
  <c r="G10" i="6"/>
  <c r="G12" i="6"/>
  <c r="G61" i="4"/>
  <c r="G60" i="4" s="1"/>
  <c r="G51" i="6" s="1"/>
  <c r="D31" i="10" s="1"/>
  <c r="G14" i="6"/>
  <c r="G13" i="6"/>
  <c r="G11" i="6"/>
  <c r="K16" i="4"/>
  <c r="AD16" i="4" s="1"/>
  <c r="L14" i="3"/>
  <c r="L40" i="9"/>
  <c r="F40" i="9"/>
  <c r="K40" i="9"/>
  <c r="E40" i="9"/>
  <c r="N40" i="9"/>
  <c r="H40" i="9"/>
  <c r="M40" i="9"/>
  <c r="G40" i="9"/>
  <c r="I40" i="9"/>
  <c r="J40" i="9"/>
  <c r="O40" i="9"/>
  <c r="P40" i="9"/>
  <c r="D51" i="8"/>
  <c r="D46" i="8"/>
  <c r="D64" i="8"/>
  <c r="AA14" i="4"/>
  <c r="K15" i="4"/>
  <c r="AD15" i="4" s="1"/>
  <c r="G67" i="10"/>
  <c r="G160" i="10" s="1"/>
  <c r="S53" i="5"/>
  <c r="S58" i="4" s="1"/>
  <c r="H13" i="7"/>
  <c r="AC42" i="4"/>
  <c r="B140" i="10" s="1"/>
  <c r="X17" i="4"/>
  <c r="Y15" i="3"/>
  <c r="F32" i="6"/>
  <c r="F39" i="6" s="1"/>
  <c r="E43" i="8"/>
  <c r="E45" i="4"/>
  <c r="E45" i="6" s="1"/>
  <c r="E63" i="4"/>
  <c r="E52" i="6" s="1"/>
  <c r="E21" i="7"/>
  <c r="E14" i="7"/>
  <c r="E19" i="8" s="1"/>
  <c r="I17" i="7"/>
  <c r="AH42" i="4"/>
  <c r="G140" i="10" s="1"/>
  <c r="Z5" i="2"/>
  <c r="E50" i="4"/>
  <c r="W22" i="3"/>
  <c r="D19" i="8"/>
  <c r="D77" i="8" s="1"/>
  <c r="AC21" i="5"/>
  <c r="J42" i="5"/>
  <c r="K13" i="2"/>
  <c r="H9" i="7"/>
  <c r="K3" i="6"/>
  <c r="M13" i="3"/>
  <c r="I14" i="2"/>
  <c r="H54" i="6"/>
  <c r="D46" i="4"/>
  <c r="I62" i="4"/>
  <c r="J62" i="4" s="1"/>
  <c r="K62" i="4" s="1"/>
  <c r="F60" i="4"/>
  <c r="F51" i="6" s="1"/>
  <c r="C31" i="10" s="1"/>
  <c r="J19" i="5"/>
  <c r="J108" i="8"/>
  <c r="D93" i="6"/>
  <c r="E44" i="4"/>
  <c r="S4" i="3"/>
  <c r="W18" i="4"/>
  <c r="AF42" i="4"/>
  <c r="E140" i="10" s="1"/>
  <c r="K34" i="8"/>
  <c r="AH5" i="7"/>
  <c r="E45" i="5"/>
  <c r="E37" i="5"/>
  <c r="O4" i="6"/>
  <c r="G21" i="4"/>
  <c r="H22" i="4"/>
  <c r="AC9" i="7"/>
  <c r="R53" i="5"/>
  <c r="R58" i="4" s="1"/>
  <c r="N53" i="5"/>
  <c r="N58" i="4" s="1"/>
  <c r="V53" i="5"/>
  <c r="V58" i="4" s="1"/>
  <c r="Y16" i="4"/>
  <c r="Z14" i="3"/>
  <c r="I24" i="6"/>
  <c r="K17" i="4"/>
  <c r="AD17" i="4" s="1"/>
  <c r="X15" i="4"/>
  <c r="G35" i="3"/>
  <c r="H28" i="3"/>
  <c r="S3" i="8"/>
  <c r="J14" i="4"/>
  <c r="J18" i="4" s="1"/>
  <c r="J22" i="3"/>
  <c r="E53" i="8"/>
  <c r="E72" i="8" s="1"/>
  <c r="E99" i="8" s="1"/>
  <c r="AC14" i="4"/>
  <c r="N23" i="10"/>
  <c r="M15" i="3" l="1"/>
  <c r="M17" i="4" s="1"/>
  <c r="S8" i="4"/>
  <c r="F37" i="4"/>
  <c r="F38" i="4"/>
  <c r="F39" i="4"/>
  <c r="X18" i="4"/>
  <c r="F37" i="3"/>
  <c r="F14" i="7" s="1"/>
  <c r="F19" i="8" s="1"/>
  <c r="F77" i="8" s="1"/>
  <c r="X22" i="3"/>
  <c r="G30" i="3"/>
  <c r="P22" i="6"/>
  <c r="Q22" i="6" s="1"/>
  <c r="R22" i="6" s="1"/>
  <c r="S22" i="6" s="1"/>
  <c r="P25" i="6"/>
  <c r="Q25" i="6" s="1"/>
  <c r="R25" i="6" s="1"/>
  <c r="S25" i="6" s="1"/>
  <c r="L62" i="4"/>
  <c r="M62" i="4" s="1"/>
  <c r="N62" i="4" s="1"/>
  <c r="O62" i="4" s="1"/>
  <c r="P31" i="6"/>
  <c r="Q31" i="6" s="1"/>
  <c r="R31" i="6" s="1"/>
  <c r="S31" i="6" s="1"/>
  <c r="H29" i="3"/>
  <c r="I29" i="3" s="1"/>
  <c r="E40" i="4"/>
  <c r="E42" i="6" s="1"/>
  <c r="P30" i="6"/>
  <c r="Q30" i="6" s="1"/>
  <c r="R30" i="6" s="1"/>
  <c r="S30" i="6" s="1"/>
  <c r="P27" i="6"/>
  <c r="Q27" i="6" s="1"/>
  <c r="R27" i="6" s="1"/>
  <c r="S27" i="6" s="1"/>
  <c r="R8" i="4"/>
  <c r="P29" i="6"/>
  <c r="Q29" i="6" s="1"/>
  <c r="R29" i="6" s="1"/>
  <c r="S29" i="6" s="1"/>
  <c r="AC61" i="4"/>
  <c r="AH58" i="4"/>
  <c r="G110" i="10" s="1"/>
  <c r="AH14" i="4"/>
  <c r="AG58" i="4"/>
  <c r="F110" i="10" s="1"/>
  <c r="F51" i="4"/>
  <c r="F48" i="6" s="1"/>
  <c r="C28" i="10" s="1"/>
  <c r="G52" i="4"/>
  <c r="E33" i="4"/>
  <c r="P28" i="6"/>
  <c r="Q28" i="6" s="1"/>
  <c r="R28" i="6" s="1"/>
  <c r="S28" i="6" s="1"/>
  <c r="V9" i="2"/>
  <c r="V8" i="4" s="1"/>
  <c r="V10" i="2"/>
  <c r="T10" i="2"/>
  <c r="P23" i="6"/>
  <c r="Q23" i="6" s="1"/>
  <c r="R23" i="6" s="1"/>
  <c r="S23" i="6" s="1"/>
  <c r="U10" i="2"/>
  <c r="P26" i="6"/>
  <c r="Q26" i="6" s="1"/>
  <c r="R26" i="6" s="1"/>
  <c r="S26" i="6" s="1"/>
  <c r="AD58" i="4"/>
  <c r="C110" i="10" s="1"/>
  <c r="AD53" i="5"/>
  <c r="V11" i="2"/>
  <c r="T11" i="2"/>
  <c r="P8" i="4"/>
  <c r="P8" i="3"/>
  <c r="AE58" i="4"/>
  <c r="D110" i="10" s="1"/>
  <c r="L9" i="4"/>
  <c r="M9" i="4" s="1"/>
  <c r="N9" i="4" s="1"/>
  <c r="O9" i="4" s="1"/>
  <c r="U11" i="2"/>
  <c r="W11" i="2"/>
  <c r="L23" i="4"/>
  <c r="M23" i="4" s="1"/>
  <c r="N23" i="4" s="1"/>
  <c r="O23" i="4" s="1"/>
  <c r="W8" i="3"/>
  <c r="W8" i="4"/>
  <c r="K19" i="2"/>
  <c r="Z10" i="2" s="1"/>
  <c r="W10" i="2"/>
  <c r="T9" i="2"/>
  <c r="Q8" i="4"/>
  <c r="Q8" i="3"/>
  <c r="U9" i="2"/>
  <c r="AD62" i="4"/>
  <c r="AF58" i="4"/>
  <c r="E110" i="10" s="1"/>
  <c r="AG53" i="5"/>
  <c r="AF53" i="5"/>
  <c r="AH94" i="8"/>
  <c r="AC60" i="4"/>
  <c r="B137" i="10" s="1"/>
  <c r="J24" i="6"/>
  <c r="F10" i="8"/>
  <c r="F59" i="4"/>
  <c r="F50" i="6" s="1"/>
  <c r="C35" i="10" s="1"/>
  <c r="I49" i="4"/>
  <c r="I26" i="3"/>
  <c r="H33" i="3"/>
  <c r="N13" i="3"/>
  <c r="M15" i="4"/>
  <c r="I27" i="3"/>
  <c r="H34" i="3"/>
  <c r="D32" i="10"/>
  <c r="E32" i="10" s="1"/>
  <c r="K19" i="5"/>
  <c r="AD19" i="5" s="1"/>
  <c r="AD21" i="5" s="1"/>
  <c r="I54" i="6"/>
  <c r="J14" i="2"/>
  <c r="E77" i="8"/>
  <c r="E10" i="8"/>
  <c r="E59" i="4"/>
  <c r="E101" i="8"/>
  <c r="E84" i="8"/>
  <c r="K15" i="2"/>
  <c r="G37" i="3"/>
  <c r="L15" i="4"/>
  <c r="E54" i="4"/>
  <c r="AE53" i="5"/>
  <c r="F83" i="8"/>
  <c r="F33" i="6"/>
  <c r="F30" i="7"/>
  <c r="G31" i="7" s="1"/>
  <c r="F31" i="7"/>
  <c r="E32" i="7"/>
  <c r="B31" i="10"/>
  <c r="E31" i="10" s="1"/>
  <c r="AC18" i="4"/>
  <c r="I28" i="3"/>
  <c r="H35" i="3"/>
  <c r="AA14" i="3"/>
  <c r="AA16" i="4" s="1"/>
  <c r="Z16" i="4"/>
  <c r="O3" i="6"/>
  <c r="Z15" i="3"/>
  <c r="Y17" i="4"/>
  <c r="K108" i="8"/>
  <c r="M14" i="3"/>
  <c r="B29" i="10"/>
  <c r="Y15" i="4"/>
  <c r="Y22" i="3"/>
  <c r="L107" i="8"/>
  <c r="M105" i="8"/>
  <c r="G36" i="4"/>
  <c r="L34" i="8"/>
  <c r="K42" i="5"/>
  <c r="L13" i="2"/>
  <c r="S4" i="6"/>
  <c r="B36" i="10"/>
  <c r="Q40" i="9"/>
  <c r="E39" i="9"/>
  <c r="G32" i="6"/>
  <c r="I53" i="4"/>
  <c r="J53" i="4" s="1"/>
  <c r="K53" i="4" s="1"/>
  <c r="L53" i="4" s="1"/>
  <c r="H61" i="4"/>
  <c r="H12" i="6"/>
  <c r="H13" i="6"/>
  <c r="H10" i="6"/>
  <c r="H14" i="6"/>
  <c r="H11" i="6"/>
  <c r="K14" i="4"/>
  <c r="K18" i="4" s="1"/>
  <c r="K22" i="3"/>
  <c r="AH15" i="5"/>
  <c r="AH53" i="5"/>
  <c r="AH16" i="5"/>
  <c r="AH18" i="5"/>
  <c r="AH20" i="5"/>
  <c r="AH17" i="5"/>
  <c r="AH14" i="5"/>
  <c r="K88" i="6"/>
  <c r="AA13" i="3"/>
  <c r="L17" i="4"/>
  <c r="E64" i="8"/>
  <c r="E51" i="8"/>
  <c r="E46" i="8"/>
  <c r="E50" i="5"/>
  <c r="J17" i="7"/>
  <c r="I13" i="7"/>
  <c r="W3" i="8"/>
  <c r="I22" i="4"/>
  <c r="H21" i="4"/>
  <c r="E43" i="5"/>
  <c r="W4" i="3"/>
  <c r="D44" i="8"/>
  <c r="D45" i="8" s="1"/>
  <c r="D50" i="8" s="1"/>
  <c r="D54" i="8" s="1"/>
  <c r="D66" i="4"/>
  <c r="D10" i="7"/>
  <c r="I9" i="7"/>
  <c r="B33" i="10"/>
  <c r="J10" i="5"/>
  <c r="I21" i="5"/>
  <c r="L18" i="3"/>
  <c r="M12" i="3"/>
  <c r="N15" i="3" l="1"/>
  <c r="F40" i="4"/>
  <c r="F42" i="6" s="1"/>
  <c r="C30" i="10" s="1"/>
  <c r="F45" i="4"/>
  <c r="F45" i="6" s="1"/>
  <c r="C33" i="10" s="1"/>
  <c r="F21" i="7"/>
  <c r="F33" i="4"/>
  <c r="G37" i="4"/>
  <c r="G39" i="4"/>
  <c r="G38" i="4"/>
  <c r="AC38" i="4" s="1"/>
  <c r="F43" i="8"/>
  <c r="P23" i="4"/>
  <c r="Q23" i="4" s="1"/>
  <c r="R23" i="4" s="1"/>
  <c r="S23" i="4" s="1"/>
  <c r="F63" i="4"/>
  <c r="F52" i="6" s="1"/>
  <c r="C36" i="10" s="1"/>
  <c r="T25" i="6"/>
  <c r="U25" i="6" s="1"/>
  <c r="V25" i="6" s="1"/>
  <c r="W25" i="6" s="1"/>
  <c r="V8" i="3"/>
  <c r="H30" i="3"/>
  <c r="P9" i="4"/>
  <c r="Q9" i="4" s="1"/>
  <c r="R9" i="4" s="1"/>
  <c r="S9" i="4" s="1"/>
  <c r="H36" i="3"/>
  <c r="H37" i="3" s="1"/>
  <c r="E43" i="4"/>
  <c r="E43" i="6" s="1"/>
  <c r="P62" i="4"/>
  <c r="Q62" i="4" s="1"/>
  <c r="R62" i="4" s="1"/>
  <c r="S62" i="4" s="1"/>
  <c r="X11" i="2"/>
  <c r="AA10" i="2"/>
  <c r="AC52" i="4"/>
  <c r="G51" i="4"/>
  <c r="H52" i="4"/>
  <c r="Z9" i="2"/>
  <c r="Z8" i="3" s="1"/>
  <c r="Y11" i="2"/>
  <c r="AA11" i="2"/>
  <c r="T29" i="6"/>
  <c r="U29" i="6" s="1"/>
  <c r="V29" i="6" s="1"/>
  <c r="W29" i="6" s="1"/>
  <c r="L19" i="2"/>
  <c r="V7" i="5" s="1"/>
  <c r="Z11" i="2"/>
  <c r="AH16" i="4"/>
  <c r="T28" i="6"/>
  <c r="U28" i="6" s="1"/>
  <c r="V28" i="6" s="1"/>
  <c r="W28" i="6" s="1"/>
  <c r="AA9" i="2"/>
  <c r="T27" i="6"/>
  <c r="U27" i="6" s="1"/>
  <c r="V27" i="6" s="1"/>
  <c r="W27" i="6" s="1"/>
  <c r="T22" i="6"/>
  <c r="U22" i="6" s="1"/>
  <c r="V22" i="6" s="1"/>
  <c r="W22" i="6" s="1"/>
  <c r="Y9" i="2"/>
  <c r="U8" i="3"/>
  <c r="U8" i="4"/>
  <c r="T8" i="4"/>
  <c r="T8" i="3"/>
  <c r="T23" i="6"/>
  <c r="U23" i="6" s="1"/>
  <c r="V23" i="6" s="1"/>
  <c r="W23" i="6" s="1"/>
  <c r="X9" i="2"/>
  <c r="T26" i="6"/>
  <c r="U26" i="6" s="1"/>
  <c r="V26" i="6" s="1"/>
  <c r="W26" i="6" s="1"/>
  <c r="T31" i="6"/>
  <c r="U31" i="6" s="1"/>
  <c r="V31" i="6" s="1"/>
  <c r="W31" i="6" s="1"/>
  <c r="Y10" i="2"/>
  <c r="T30" i="6"/>
  <c r="U30" i="6" s="1"/>
  <c r="V30" i="6" s="1"/>
  <c r="W30" i="6" s="1"/>
  <c r="X10" i="2"/>
  <c r="AD53" i="4"/>
  <c r="F32" i="7"/>
  <c r="F17" i="8" s="1"/>
  <c r="M18" i="3"/>
  <c r="N12" i="3"/>
  <c r="D57" i="8"/>
  <c r="E48" i="5"/>
  <c r="AD34" i="8"/>
  <c r="AH30" i="8"/>
  <c r="K17" i="7"/>
  <c r="Z15" i="4"/>
  <c r="H60" i="4"/>
  <c r="M34" i="8"/>
  <c r="S3" i="6"/>
  <c r="W3" i="6" s="1"/>
  <c r="AA3" i="6" s="1"/>
  <c r="L15" i="2"/>
  <c r="AD14" i="4"/>
  <c r="AD18" i="4" s="1"/>
  <c r="J54" i="6"/>
  <c r="K14" i="2"/>
  <c r="O13" i="3"/>
  <c r="AE13" i="3" s="1"/>
  <c r="L22" i="3"/>
  <c r="L14" i="4"/>
  <c r="L88" i="6"/>
  <c r="L16" i="4"/>
  <c r="I35" i="3"/>
  <c r="M53" i="4"/>
  <c r="N53" i="4" s="1"/>
  <c r="O53" i="4" s="1"/>
  <c r="P53" i="4" s="1"/>
  <c r="N17" i="4"/>
  <c r="O15" i="3"/>
  <c r="M16" i="4"/>
  <c r="N14" i="3"/>
  <c r="E17" i="8"/>
  <c r="E75" i="8" s="1"/>
  <c r="F101" i="8"/>
  <c r="F84" i="8"/>
  <c r="E50" i="6"/>
  <c r="I34" i="3"/>
  <c r="K24" i="6"/>
  <c r="I61" i="4"/>
  <c r="I60" i="4" s="1"/>
  <c r="I14" i="6"/>
  <c r="I13" i="6"/>
  <c r="I12" i="6"/>
  <c r="I10" i="6"/>
  <c r="I11" i="6"/>
  <c r="J21" i="5"/>
  <c r="K10" i="5"/>
  <c r="AD10" i="5" s="1"/>
  <c r="AA3" i="8"/>
  <c r="AF27" i="8" s="1"/>
  <c r="AE34" i="8"/>
  <c r="AG29" i="8"/>
  <c r="AC20" i="8"/>
  <c r="AG20" i="8"/>
  <c r="AH16" i="8"/>
  <c r="AG10" i="8"/>
  <c r="AE18" i="8"/>
  <c r="D16" i="8"/>
  <c r="J22" i="4"/>
  <c r="I21" i="4"/>
  <c r="AC27" i="8"/>
  <c r="AH12" i="8"/>
  <c r="AG12" i="8"/>
  <c r="AD35" i="8"/>
  <c r="AH11" i="8"/>
  <c r="AE30" i="8"/>
  <c r="AC29" i="8"/>
  <c r="AE28" i="8"/>
  <c r="AF34" i="8"/>
  <c r="E57" i="4"/>
  <c r="H32" i="6"/>
  <c r="H39" i="6" s="1"/>
  <c r="G83" i="8"/>
  <c r="G33" i="6"/>
  <c r="G30" i="7"/>
  <c r="W4" i="6"/>
  <c r="C29" i="10"/>
  <c r="J26" i="3"/>
  <c r="I30" i="3"/>
  <c r="I33" i="3"/>
  <c r="E49" i="8"/>
  <c r="AC36" i="4"/>
  <c r="AC21" i="4" s="1"/>
  <c r="I36" i="3"/>
  <c r="D68" i="4"/>
  <c r="D18" i="7"/>
  <c r="AD30" i="8"/>
  <c r="AC35" i="8"/>
  <c r="AG28" i="8"/>
  <c r="AF35" i="8"/>
  <c r="AH17" i="8"/>
  <c r="AC34" i="8"/>
  <c r="AC19" i="8"/>
  <c r="AD29" i="8"/>
  <c r="AG16" i="8"/>
  <c r="AD12" i="8"/>
  <c r="AG30" i="8"/>
  <c r="AC17" i="8"/>
  <c r="J13" i="7"/>
  <c r="L42" i="5"/>
  <c r="M13" i="2"/>
  <c r="N105" i="8"/>
  <c r="M107" i="8"/>
  <c r="Y18" i="4"/>
  <c r="Z17" i="4"/>
  <c r="AA15" i="3"/>
  <c r="AA17" i="4" s="1"/>
  <c r="AC31" i="7"/>
  <c r="L19" i="5"/>
  <c r="B30" i="10"/>
  <c r="J9" i="7"/>
  <c r="H36" i="4"/>
  <c r="AC16" i="8"/>
  <c r="AA4" i="3"/>
  <c r="AC21" i="3"/>
  <c r="AH13" i="3"/>
  <c r="AC19" i="3"/>
  <c r="AH10" i="8"/>
  <c r="AF19" i="8"/>
  <c r="AH20" i="8"/>
  <c r="AC10" i="8"/>
  <c r="AD19" i="8"/>
  <c r="AE27" i="8"/>
  <c r="AG17" i="8"/>
  <c r="AF30" i="8"/>
  <c r="AE29" i="8"/>
  <c r="AC30" i="8"/>
  <c r="AH18" i="8"/>
  <c r="AD11" i="8"/>
  <c r="E41" i="9"/>
  <c r="F39" i="9" s="1"/>
  <c r="Q39" i="9" s="1"/>
  <c r="L108" i="8"/>
  <c r="M108" i="8"/>
  <c r="G39" i="6"/>
  <c r="G43" i="8"/>
  <c r="G63" i="4"/>
  <c r="G45" i="4"/>
  <c r="G21" i="7"/>
  <c r="G14" i="7"/>
  <c r="AE62" i="4"/>
  <c r="J49" i="4"/>
  <c r="AH12" i="3"/>
  <c r="F43" i="4" l="1"/>
  <c r="F43" i="6" s="1"/>
  <c r="C34" i="10" s="1"/>
  <c r="G40" i="4"/>
  <c r="AC40" i="4" s="1"/>
  <c r="B132" i="10" s="1"/>
  <c r="H37" i="4"/>
  <c r="H38" i="4"/>
  <c r="H39" i="4"/>
  <c r="G33" i="4"/>
  <c r="E46" i="4"/>
  <c r="E10" i="7" s="1"/>
  <c r="Z8" i="4"/>
  <c r="G7" i="5"/>
  <c r="N7" i="5"/>
  <c r="M7" i="5"/>
  <c r="U7" i="5"/>
  <c r="X25" i="6"/>
  <c r="Y25" i="6" s="1"/>
  <c r="Z25" i="6" s="1"/>
  <c r="AA25" i="6" s="1"/>
  <c r="X30" i="6"/>
  <c r="Y30" i="6" s="1"/>
  <c r="Z30" i="6" s="1"/>
  <c r="AA30" i="6" s="1"/>
  <c r="H51" i="4"/>
  <c r="I52" i="4"/>
  <c r="G48" i="6"/>
  <c r="D28" i="10" s="1"/>
  <c r="E28" i="10" s="1"/>
  <c r="AC51" i="4"/>
  <c r="B134" i="10" s="1"/>
  <c r="X26" i="6"/>
  <c r="Y26" i="6" s="1"/>
  <c r="Z26" i="6" s="1"/>
  <c r="AA26" i="6" s="1"/>
  <c r="J7" i="5"/>
  <c r="AH17" i="4"/>
  <c r="X31" i="6"/>
  <c r="Y31" i="6" s="1"/>
  <c r="Z31" i="6" s="1"/>
  <c r="AA31" i="6" s="1"/>
  <c r="X23" i="6"/>
  <c r="Y23" i="6" s="1"/>
  <c r="Z23" i="6" s="1"/>
  <c r="AA23" i="6" s="1"/>
  <c r="X27" i="6"/>
  <c r="Y27" i="6" s="1"/>
  <c r="Z27" i="6" s="1"/>
  <c r="AA27" i="6" s="1"/>
  <c r="AA7" i="5"/>
  <c r="F7" i="5"/>
  <c r="X7" i="5"/>
  <c r="L7" i="5"/>
  <c r="R7" i="5"/>
  <c r="AA8" i="4"/>
  <c r="AA8" i="3"/>
  <c r="Y7" i="5"/>
  <c r="X29" i="6"/>
  <c r="Y29" i="6" s="1"/>
  <c r="Z29" i="6" s="1"/>
  <c r="AA29" i="6" s="1"/>
  <c r="T23" i="4"/>
  <c r="U23" i="4" s="1"/>
  <c r="V23" i="4" s="1"/>
  <c r="W23" i="4" s="1"/>
  <c r="W7" i="5"/>
  <c r="D7" i="5"/>
  <c r="Z7" i="5"/>
  <c r="T7" i="5"/>
  <c r="P7" i="5"/>
  <c r="Q7" i="5"/>
  <c r="H7" i="5"/>
  <c r="X8" i="4"/>
  <c r="X8" i="3"/>
  <c r="I7" i="5"/>
  <c r="Y8" i="3"/>
  <c r="Y8" i="4"/>
  <c r="X28" i="6"/>
  <c r="Y28" i="6" s="1"/>
  <c r="Z28" i="6" s="1"/>
  <c r="AA28" i="6" s="1"/>
  <c r="O7" i="5"/>
  <c r="T62" i="4"/>
  <c r="U62" i="4" s="1"/>
  <c r="V62" i="4" s="1"/>
  <c r="W62" i="4" s="1"/>
  <c r="T9" i="4"/>
  <c r="U9" i="4" s="1"/>
  <c r="V9" i="4" s="1"/>
  <c r="W9" i="4" s="1"/>
  <c r="K7" i="5"/>
  <c r="X22" i="6"/>
  <c r="Y22" i="6" s="1"/>
  <c r="Z22" i="6" s="1"/>
  <c r="AA22" i="6" s="1"/>
  <c r="E7" i="5"/>
  <c r="S7" i="5"/>
  <c r="AE53" i="4"/>
  <c r="AF62" i="4"/>
  <c r="E42" i="9"/>
  <c r="AC36" i="8"/>
  <c r="AD36" i="8"/>
  <c r="G46" i="8"/>
  <c r="G51" i="8"/>
  <c r="G64" i="8"/>
  <c r="G52" i="6"/>
  <c r="AC63" i="4"/>
  <c r="K13" i="7"/>
  <c r="AD13" i="7" s="1"/>
  <c r="I37" i="3"/>
  <c r="AA4" i="6"/>
  <c r="AD70" i="6"/>
  <c r="AD93" i="6" s="1"/>
  <c r="AF38" i="6"/>
  <c r="AE19" i="6"/>
  <c r="AD22" i="6"/>
  <c r="AG50" i="6"/>
  <c r="AE30" i="6"/>
  <c r="AH52" i="6"/>
  <c r="H31" i="7"/>
  <c r="G32" i="7"/>
  <c r="AC30" i="7"/>
  <c r="K22" i="4"/>
  <c r="J21" i="4"/>
  <c r="J14" i="6"/>
  <c r="J13" i="6"/>
  <c r="J12" i="6"/>
  <c r="J61" i="4"/>
  <c r="J60" i="4" s="1"/>
  <c r="J10" i="6"/>
  <c r="J11" i="6"/>
  <c r="B34" i="10"/>
  <c r="N15" i="4"/>
  <c r="L14" i="2"/>
  <c r="K54" i="6"/>
  <c r="F75" i="8"/>
  <c r="AF60" i="6"/>
  <c r="AD61" i="6"/>
  <c r="AG60" i="6"/>
  <c r="AC60" i="6"/>
  <c r="Z18" i="4"/>
  <c r="AD10" i="8"/>
  <c r="AD13" i="8" s="1"/>
  <c r="AG27" i="8"/>
  <c r="AG31" i="8" s="1"/>
  <c r="O14" i="3"/>
  <c r="N16" i="4"/>
  <c r="AC15" i="3"/>
  <c r="AD13" i="3"/>
  <c r="AD18" i="3"/>
  <c r="AC13" i="3"/>
  <c r="AC20" i="3"/>
  <c r="AC14" i="3"/>
  <c r="AH15" i="3"/>
  <c r="AD12" i="3"/>
  <c r="AC18" i="3"/>
  <c r="AD14" i="3"/>
  <c r="AC12" i="3"/>
  <c r="AD15" i="3"/>
  <c r="D35" i="8"/>
  <c r="J33" i="3"/>
  <c r="J30" i="3"/>
  <c r="K26" i="3"/>
  <c r="D74" i="8"/>
  <c r="I32" i="6"/>
  <c r="I39" i="6" s="1"/>
  <c r="AD88" i="6"/>
  <c r="AE60" i="6"/>
  <c r="L17" i="7"/>
  <c r="AD17" i="7"/>
  <c r="AD28" i="8"/>
  <c r="O12" i="3"/>
  <c r="N18" i="3"/>
  <c r="AE15" i="3"/>
  <c r="AA15" i="4"/>
  <c r="AA18" i="4" s="1"/>
  <c r="AA22" i="3"/>
  <c r="K49" i="4"/>
  <c r="AD49" i="4" s="1"/>
  <c r="C138" i="10" s="1"/>
  <c r="G19" i="8"/>
  <c r="G77" i="8" s="1"/>
  <c r="AC14" i="7"/>
  <c r="AH13" i="8"/>
  <c r="K9" i="7"/>
  <c r="AD9" i="7" s="1"/>
  <c r="M19" i="5"/>
  <c r="H10" i="8"/>
  <c r="H59" i="4"/>
  <c r="G101" i="8"/>
  <c r="G84" i="8"/>
  <c r="E64" i="4"/>
  <c r="E44" i="6"/>
  <c r="AF10" i="8"/>
  <c r="AE11" i="8"/>
  <c r="AD17" i="8"/>
  <c r="AD20" i="8"/>
  <c r="AH34" i="8"/>
  <c r="AD16" i="8"/>
  <c r="AG34" i="8"/>
  <c r="AH19" i="8"/>
  <c r="AH21" i="8" s="1"/>
  <c r="AC18" i="8"/>
  <c r="AC21" i="8" s="1"/>
  <c r="AC11" i="8"/>
  <c r="AH35" i="8"/>
  <c r="AE16" i="8"/>
  <c r="AC28" i="8"/>
  <c r="AC31" i="8" s="1"/>
  <c r="AF11" i="8"/>
  <c r="AF12" i="8"/>
  <c r="AF16" i="8"/>
  <c r="AF18" i="8"/>
  <c r="AF29" i="8"/>
  <c r="AE20" i="8"/>
  <c r="AF17" i="8"/>
  <c r="AG18" i="8"/>
  <c r="AG19" i="8"/>
  <c r="AE35" i="8"/>
  <c r="AE36" i="8" s="1"/>
  <c r="AG11" i="8"/>
  <c r="AG13" i="8" s="1"/>
  <c r="AE17" i="8"/>
  <c r="L24" i="6"/>
  <c r="O17" i="4"/>
  <c r="AE17" i="4" s="1"/>
  <c r="P15" i="3"/>
  <c r="M88" i="6"/>
  <c r="H43" i="8"/>
  <c r="H45" i="4"/>
  <c r="H63" i="4"/>
  <c r="H21" i="7"/>
  <c r="H14" i="7"/>
  <c r="AH60" i="6"/>
  <c r="AF61" i="6"/>
  <c r="AD60" i="6"/>
  <c r="AC88" i="6"/>
  <c r="AD27" i="8"/>
  <c r="AH29" i="8"/>
  <c r="M22" i="3"/>
  <c r="M14" i="4"/>
  <c r="M18" i="4" s="1"/>
  <c r="M15" i="2"/>
  <c r="AC21" i="7"/>
  <c r="F41" i="9"/>
  <c r="G39" i="9" s="1"/>
  <c r="AE31" i="8"/>
  <c r="AH14" i="3"/>
  <c r="AH18" i="3"/>
  <c r="O105" i="8"/>
  <c r="N107" i="8"/>
  <c r="D22" i="7"/>
  <c r="D29" i="10"/>
  <c r="E29" i="10" s="1"/>
  <c r="AF36" i="8"/>
  <c r="AH28" i="8"/>
  <c r="B35" i="10"/>
  <c r="Q53" i="4"/>
  <c r="R53" i="4" s="1"/>
  <c r="S53" i="4" s="1"/>
  <c r="T53" i="4" s="1"/>
  <c r="AE61" i="6"/>
  <c r="N34" i="8"/>
  <c r="AE10" i="8"/>
  <c r="AD18" i="8"/>
  <c r="AF28" i="8"/>
  <c r="G10" i="8"/>
  <c r="G59" i="4"/>
  <c r="G45" i="6"/>
  <c r="AC45" i="4"/>
  <c r="AG61" i="6"/>
  <c r="AC33" i="3"/>
  <c r="M42" i="5"/>
  <c r="N13" i="2"/>
  <c r="AH75" i="6"/>
  <c r="H83" i="8"/>
  <c r="H33" i="6"/>
  <c r="H30" i="7"/>
  <c r="AG35" i="8"/>
  <c r="AH27" i="8"/>
  <c r="I36" i="4"/>
  <c r="AF20" i="8"/>
  <c r="AC12" i="8"/>
  <c r="K21" i="5"/>
  <c r="L10" i="5"/>
  <c r="L18" i="4"/>
  <c r="P13" i="3"/>
  <c r="O15" i="4"/>
  <c r="AH61" i="6"/>
  <c r="AC61" i="6"/>
  <c r="Z22" i="3"/>
  <c r="AE19" i="8"/>
  <c r="AE12" i="8"/>
  <c r="D61" i="8"/>
  <c r="D62" i="8"/>
  <c r="D60" i="8"/>
  <c r="H40" i="4" l="1"/>
  <c r="H43" i="4" s="1"/>
  <c r="E44" i="8"/>
  <c r="E45" i="8" s="1"/>
  <c r="G42" i="6"/>
  <c r="D30" i="10" s="1"/>
  <c r="E30" i="10" s="1"/>
  <c r="G43" i="4"/>
  <c r="G43" i="6" s="1"/>
  <c r="D34" i="10" s="1"/>
  <c r="E34" i="10" s="1"/>
  <c r="I38" i="4"/>
  <c r="I37" i="4"/>
  <c r="H33" i="4"/>
  <c r="I39" i="4"/>
  <c r="AH26" i="6"/>
  <c r="X62" i="4"/>
  <c r="Y62" i="4" s="1"/>
  <c r="Z62" i="4" s="1"/>
  <c r="AA62" i="4" s="1"/>
  <c r="AH23" i="6"/>
  <c r="X23" i="4"/>
  <c r="Y23" i="4" s="1"/>
  <c r="Z23" i="4" s="1"/>
  <c r="AA23" i="4" s="1"/>
  <c r="X9" i="4"/>
  <c r="Y9" i="4" s="1"/>
  <c r="Z9" i="4" s="1"/>
  <c r="AA9" i="4" s="1"/>
  <c r="J52" i="4"/>
  <c r="I51" i="4"/>
  <c r="AH27" i="6"/>
  <c r="AC22" i="3"/>
  <c r="F31" i="5"/>
  <c r="F28" i="5"/>
  <c r="F25" i="5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F24" i="5"/>
  <c r="F30" i="5"/>
  <c r="F34" i="5"/>
  <c r="F33" i="5"/>
  <c r="F32" i="5"/>
  <c r="F29" i="5"/>
  <c r="F26" i="5"/>
  <c r="G26" i="5" s="1"/>
  <c r="F27" i="5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B135" i="10"/>
  <c r="AG21" i="8"/>
  <c r="AG23" i="8" s="1"/>
  <c r="AD31" i="8"/>
  <c r="AD38" i="8" s="1"/>
  <c r="AF31" i="8"/>
  <c r="AF38" i="8" s="1"/>
  <c r="AC38" i="8"/>
  <c r="AG36" i="8"/>
  <c r="AG38" i="8" s="1"/>
  <c r="AF13" i="8"/>
  <c r="AC13" i="8"/>
  <c r="AC23" i="8" s="1"/>
  <c r="AH23" i="8"/>
  <c r="AH31" i="8"/>
  <c r="G50" i="6"/>
  <c r="AC59" i="4"/>
  <c r="B139" i="10" s="1"/>
  <c r="AD46" i="6"/>
  <c r="AC47" i="6"/>
  <c r="AC17" i="6"/>
  <c r="AD49" i="6"/>
  <c r="AD30" i="6"/>
  <c r="AE70" i="6"/>
  <c r="AE93" i="6" s="1"/>
  <c r="AE45" i="6"/>
  <c r="AE29" i="6"/>
  <c r="AE18" i="6"/>
  <c r="AC10" i="6"/>
  <c r="AC27" i="6"/>
  <c r="AC26" i="6"/>
  <c r="AC19" i="6"/>
  <c r="AE42" i="6"/>
  <c r="AC28" i="6"/>
  <c r="AC49" i="6"/>
  <c r="AE47" i="6"/>
  <c r="AD27" i="6"/>
  <c r="AD28" i="6"/>
  <c r="AD42" i="6"/>
  <c r="AC22" i="6"/>
  <c r="AE43" i="6"/>
  <c r="AD31" i="6"/>
  <c r="AC46" i="6"/>
  <c r="AC11" i="6"/>
  <c r="AE16" i="6"/>
  <c r="AE38" i="6"/>
  <c r="AG51" i="6"/>
  <c r="AC25" i="6"/>
  <c r="AF44" i="6"/>
  <c r="AG27" i="6"/>
  <c r="AD45" i="6"/>
  <c r="AG28" i="6"/>
  <c r="AG49" i="6"/>
  <c r="AH19" i="6"/>
  <c r="AD38" i="6"/>
  <c r="AF80" i="6"/>
  <c r="AE28" i="6"/>
  <c r="AD52" i="6"/>
  <c r="AH48" i="6"/>
  <c r="AE75" i="6"/>
  <c r="AH16" i="6"/>
  <c r="AH45" i="6"/>
  <c r="AF47" i="6"/>
  <c r="AH57" i="6"/>
  <c r="AF26" i="6"/>
  <c r="AF22" i="6"/>
  <c r="AG22" i="6"/>
  <c r="AG48" i="6"/>
  <c r="AH50" i="6"/>
  <c r="AF46" i="6"/>
  <c r="AG16" i="6"/>
  <c r="AF42" i="6"/>
  <c r="AH46" i="6"/>
  <c r="AD19" i="6"/>
  <c r="AF75" i="6"/>
  <c r="AD58" i="6"/>
  <c r="AE26" i="6"/>
  <c r="AE44" i="6"/>
  <c r="AG26" i="6"/>
  <c r="AC33" i="6"/>
  <c r="AF23" i="6"/>
  <c r="AE57" i="6"/>
  <c r="AH17" i="6"/>
  <c r="AD24" i="6"/>
  <c r="AE51" i="6"/>
  <c r="AH51" i="6"/>
  <c r="AC29" i="6"/>
  <c r="AF30" i="6"/>
  <c r="AG52" i="6"/>
  <c r="AD50" i="6"/>
  <c r="AH18" i="6"/>
  <c r="AD16" i="6"/>
  <c r="AG57" i="6"/>
  <c r="AF70" i="6"/>
  <c r="AF93" i="6" s="1"/>
  <c r="AF17" i="6"/>
  <c r="AF58" i="6"/>
  <c r="AC38" i="6"/>
  <c r="AD15" i="6"/>
  <c r="AC16" i="6"/>
  <c r="AH42" i="6"/>
  <c r="AG25" i="6"/>
  <c r="AE50" i="6"/>
  <c r="AG75" i="6"/>
  <c r="AH25" i="6"/>
  <c r="AE46" i="6"/>
  <c r="AE31" i="6"/>
  <c r="AC30" i="6"/>
  <c r="AG23" i="6"/>
  <c r="AF52" i="6"/>
  <c r="AC23" i="6"/>
  <c r="AH44" i="6"/>
  <c r="AH43" i="6"/>
  <c r="AE17" i="6"/>
  <c r="AC15" i="6"/>
  <c r="AF29" i="6"/>
  <c r="E16" i="8"/>
  <c r="AC39" i="6"/>
  <c r="U53" i="4"/>
  <c r="V53" i="4" s="1"/>
  <c r="W53" i="4" s="1"/>
  <c r="X53" i="4" s="1"/>
  <c r="AH49" i="6"/>
  <c r="D23" i="7"/>
  <c r="D24" i="7" s="1"/>
  <c r="G41" i="9"/>
  <c r="H39" i="9" s="1"/>
  <c r="M24" i="6"/>
  <c r="AH29" i="6"/>
  <c r="M17" i="7"/>
  <c r="AH22" i="6"/>
  <c r="AD22" i="3"/>
  <c r="AF15" i="6"/>
  <c r="AD23" i="6"/>
  <c r="AE49" i="6"/>
  <c r="AG45" i="6"/>
  <c r="AE58" i="6"/>
  <c r="AC18" i="6"/>
  <c r="AF25" i="6"/>
  <c r="AD26" i="6"/>
  <c r="AF19" i="6"/>
  <c r="AG42" i="6"/>
  <c r="AG17" i="6"/>
  <c r="AG38" i="6"/>
  <c r="I31" i="7"/>
  <c r="AD25" i="6"/>
  <c r="N42" i="5"/>
  <c r="O13" i="2"/>
  <c r="AH28" i="6"/>
  <c r="N108" i="8"/>
  <c r="AH22" i="3"/>
  <c r="AH38" i="6"/>
  <c r="Q15" i="3"/>
  <c r="AE21" i="8"/>
  <c r="AD21" i="8"/>
  <c r="AD23" i="8" s="1"/>
  <c r="B27" i="10"/>
  <c r="E53" i="6"/>
  <c r="N19" i="5"/>
  <c r="L9" i="7"/>
  <c r="N14" i="4"/>
  <c r="N22" i="3"/>
  <c r="AH15" i="6"/>
  <c r="AE15" i="4"/>
  <c r="AD75" i="6"/>
  <c r="AD43" i="6"/>
  <c r="AG80" i="6"/>
  <c r="AC24" i="6"/>
  <c r="AH70" i="6"/>
  <c r="AH93" i="6" s="1"/>
  <c r="AE48" i="6"/>
  <c r="AF18" i="6"/>
  <c r="AE23" i="6"/>
  <c r="AG30" i="6"/>
  <c r="AD44" i="6"/>
  <c r="AE80" i="6"/>
  <c r="AD48" i="6"/>
  <c r="AH30" i="6"/>
  <c r="L13" i="7"/>
  <c r="L21" i="5"/>
  <c r="M10" i="5"/>
  <c r="B68" i="10"/>
  <c r="AC26" i="3"/>
  <c r="K14" i="6"/>
  <c r="K13" i="6"/>
  <c r="AD13" i="6" s="1"/>
  <c r="K12" i="6"/>
  <c r="K10" i="6"/>
  <c r="AD10" i="6" s="1"/>
  <c r="K61" i="4"/>
  <c r="K11" i="6"/>
  <c r="AG15" i="6"/>
  <c r="O107" i="8"/>
  <c r="P105" i="8"/>
  <c r="H19" i="8"/>
  <c r="H77" i="8" s="1"/>
  <c r="AH36" i="8"/>
  <c r="O18" i="3"/>
  <c r="P12" i="3"/>
  <c r="AE12" i="3"/>
  <c r="J37" i="3"/>
  <c r="B69" i="10"/>
  <c r="P14" i="3"/>
  <c r="AH15" i="4"/>
  <c r="AH18" i="4" s="1"/>
  <c r="M14" i="2"/>
  <c r="L54" i="6"/>
  <c r="J36" i="4"/>
  <c r="G17" i="8"/>
  <c r="G75" i="8" s="1"/>
  <c r="AC32" i="7"/>
  <c r="AC32" i="6"/>
  <c r="AG44" i="6"/>
  <c r="AD29" i="6"/>
  <c r="AC51" i="6"/>
  <c r="AG58" i="6"/>
  <c r="AG18" i="6"/>
  <c r="AF50" i="6"/>
  <c r="AG31" i="6"/>
  <c r="AC31" i="6"/>
  <c r="AF16" i="6"/>
  <c r="AG70" i="6"/>
  <c r="AG93" i="6" s="1"/>
  <c r="I43" i="8"/>
  <c r="I63" i="4"/>
  <c r="I45" i="4"/>
  <c r="I21" i="7"/>
  <c r="I14" i="7"/>
  <c r="I19" i="8" s="1"/>
  <c r="L26" i="3"/>
  <c r="K33" i="3"/>
  <c r="K30" i="3"/>
  <c r="AH47" i="6"/>
  <c r="AD51" i="6"/>
  <c r="AE13" i="8"/>
  <c r="D59" i="8"/>
  <c r="D63" i="8" s="1"/>
  <c r="D12" i="8"/>
  <c r="AG62" i="4"/>
  <c r="I10" i="8"/>
  <c r="I59" i="4"/>
  <c r="H101" i="8"/>
  <c r="H84" i="8"/>
  <c r="AH58" i="6"/>
  <c r="AE38" i="8"/>
  <c r="N15" i="2"/>
  <c r="AF21" i="8"/>
  <c r="E48" i="8"/>
  <c r="E66" i="4"/>
  <c r="B71" i="10"/>
  <c r="L49" i="4"/>
  <c r="J32" i="6"/>
  <c r="L22" i="4"/>
  <c r="K21" i="4"/>
  <c r="AD17" i="6"/>
  <c r="AG19" i="6"/>
  <c r="AE52" i="6"/>
  <c r="AF43" i="6"/>
  <c r="AG43" i="6"/>
  <c r="AG47" i="6"/>
  <c r="AE25" i="6"/>
  <c r="AE22" i="6"/>
  <c r="AG29" i="6"/>
  <c r="AE27" i="6"/>
  <c r="AF49" i="6"/>
  <c r="AG46" i="6"/>
  <c r="D36" i="10"/>
  <c r="E36" i="10" s="1"/>
  <c r="AC52" i="6"/>
  <c r="Q13" i="3"/>
  <c r="H32" i="7"/>
  <c r="AF28" i="6"/>
  <c r="O37" i="9"/>
  <c r="I37" i="9"/>
  <c r="N37" i="9"/>
  <c r="H37" i="9"/>
  <c r="K37" i="9"/>
  <c r="E37" i="9"/>
  <c r="P37" i="9"/>
  <c r="J37" i="9"/>
  <c r="G37" i="9"/>
  <c r="F37" i="9"/>
  <c r="L37" i="9"/>
  <c r="M37" i="9"/>
  <c r="D66" i="8"/>
  <c r="D98" i="8" s="1"/>
  <c r="AH80" i="6"/>
  <c r="D33" i="10"/>
  <c r="E33" i="10" s="1"/>
  <c r="AC45" i="6"/>
  <c r="O34" i="8"/>
  <c r="AF53" i="4"/>
  <c r="F42" i="9"/>
  <c r="N88" i="6"/>
  <c r="I83" i="8"/>
  <c r="I33" i="6"/>
  <c r="I30" i="7"/>
  <c r="J31" i="7" s="1"/>
  <c r="AH31" i="6"/>
  <c r="D78" i="8"/>
  <c r="D36" i="8"/>
  <c r="AD57" i="6"/>
  <c r="AF57" i="6"/>
  <c r="AE15" i="6"/>
  <c r="AF31" i="6"/>
  <c r="AF48" i="6"/>
  <c r="AD18" i="6"/>
  <c r="AF45" i="6"/>
  <c r="AD80" i="6"/>
  <c r="AC48" i="6"/>
  <c r="AF27" i="6"/>
  <c r="AF51" i="6"/>
  <c r="AD47" i="6"/>
  <c r="E50" i="8" l="1"/>
  <c r="E54" i="8" s="1"/>
  <c r="E57" i="8" s="1"/>
  <c r="AC42" i="6"/>
  <c r="I40" i="4"/>
  <c r="I43" i="4" s="1"/>
  <c r="AC43" i="4"/>
  <c r="B136" i="10" s="1"/>
  <c r="AC43" i="6"/>
  <c r="I33" i="4"/>
  <c r="J37" i="4"/>
  <c r="J39" i="4"/>
  <c r="J38" i="4"/>
  <c r="K52" i="4"/>
  <c r="J51" i="4"/>
  <c r="G31" i="5"/>
  <c r="H31" i="5" s="1"/>
  <c r="F38" i="5"/>
  <c r="G32" i="5"/>
  <c r="AC32" i="5" s="1"/>
  <c r="G28" i="5"/>
  <c r="H28" i="5" s="1"/>
  <c r="G33" i="5"/>
  <c r="H33" i="5" s="1"/>
  <c r="G30" i="5"/>
  <c r="H30" i="5" s="1"/>
  <c r="H26" i="5"/>
  <c r="I26" i="5" s="1"/>
  <c r="G24" i="5"/>
  <c r="AC24" i="5" s="1"/>
  <c r="F35" i="5"/>
  <c r="F39" i="5"/>
  <c r="F40" i="5"/>
  <c r="G34" i="5"/>
  <c r="AC34" i="5" s="1"/>
  <c r="G29" i="5"/>
  <c r="H29" i="5" s="1"/>
  <c r="I77" i="8"/>
  <c r="AG53" i="4"/>
  <c r="AH62" i="4"/>
  <c r="AD39" i="8"/>
  <c r="AG39" i="8"/>
  <c r="AF23" i="8"/>
  <c r="AF39" i="8" s="1"/>
  <c r="AH38" i="8"/>
  <c r="AH39" i="8" s="1"/>
  <c r="AD62" i="6"/>
  <c r="AC39" i="8"/>
  <c r="G42" i="9"/>
  <c r="AF62" i="6"/>
  <c r="Q37" i="9"/>
  <c r="J83" i="8"/>
  <c r="J33" i="6"/>
  <c r="J39" i="6"/>
  <c r="J30" i="7"/>
  <c r="J32" i="7" s="1"/>
  <c r="L33" i="3"/>
  <c r="L30" i="3"/>
  <c r="M26" i="3"/>
  <c r="N14" i="2"/>
  <c r="M54" i="6"/>
  <c r="O16" i="4"/>
  <c r="AE16" i="4" s="1"/>
  <c r="B26" i="10"/>
  <c r="M49" i="4"/>
  <c r="D79" i="8"/>
  <c r="D13" i="8"/>
  <c r="AE23" i="8"/>
  <c r="AE39" i="8" s="1"/>
  <c r="H41" i="9"/>
  <c r="I39" i="9" s="1"/>
  <c r="E74" i="8"/>
  <c r="D35" i="10"/>
  <c r="E35" i="10" s="1"/>
  <c r="AC50" i="6"/>
  <c r="E68" i="4"/>
  <c r="E18" i="7"/>
  <c r="AF53" i="6"/>
  <c r="K36" i="4"/>
  <c r="D30" i="8"/>
  <c r="D29" i="8" s="1"/>
  <c r="D71" i="8"/>
  <c r="J43" i="8"/>
  <c r="J63" i="4"/>
  <c r="J45" i="4"/>
  <c r="J21" i="7"/>
  <c r="J14" i="7"/>
  <c r="Q12" i="3"/>
  <c r="P18" i="3"/>
  <c r="K60" i="4"/>
  <c r="AD60" i="4" s="1"/>
  <c r="C137" i="10" s="1"/>
  <c r="AD61" i="4"/>
  <c r="M21" i="5"/>
  <c r="N10" i="5"/>
  <c r="O19" i="5"/>
  <c r="O108" i="8"/>
  <c r="N17" i="7"/>
  <c r="N24" i="6"/>
  <c r="AH53" i="6"/>
  <c r="AE62" i="6"/>
  <c r="AH62" i="6"/>
  <c r="H17" i="8"/>
  <c r="H75" i="8" s="1"/>
  <c r="O15" i="2"/>
  <c r="M9" i="7"/>
  <c r="Q15" i="4"/>
  <c r="R13" i="3"/>
  <c r="M22" i="4"/>
  <c r="L21" i="4"/>
  <c r="O14" i="4"/>
  <c r="O22" i="3"/>
  <c r="P107" i="8"/>
  <c r="P108" i="8" s="1"/>
  <c r="Q105" i="8"/>
  <c r="K32" i="6"/>
  <c r="K39" i="6" s="1"/>
  <c r="L14" i="6"/>
  <c r="L13" i="6"/>
  <c r="L12" i="6"/>
  <c r="L10" i="6"/>
  <c r="L61" i="4"/>
  <c r="L11" i="6"/>
  <c r="E54" i="6"/>
  <c r="R15" i="3"/>
  <c r="Q17" i="4"/>
  <c r="Y53" i="4"/>
  <c r="Z53" i="4" s="1"/>
  <c r="AA53" i="4" s="1"/>
  <c r="AG62" i="6"/>
  <c r="AD53" i="6"/>
  <c r="AE53" i="6"/>
  <c r="I101" i="8"/>
  <c r="I84" i="8"/>
  <c r="O88" i="6"/>
  <c r="P34" i="8"/>
  <c r="P15" i="4"/>
  <c r="K37" i="3"/>
  <c r="AD33" i="3"/>
  <c r="Q14" i="3"/>
  <c r="M13" i="7"/>
  <c r="N18" i="4"/>
  <c r="P17" i="4"/>
  <c r="O42" i="5"/>
  <c r="P13" i="2"/>
  <c r="AG53" i="6"/>
  <c r="I32" i="7"/>
  <c r="D25" i="7"/>
  <c r="D26" i="7" s="1"/>
  <c r="J40" i="4" l="1"/>
  <c r="J43" i="4" s="1"/>
  <c r="J33" i="4"/>
  <c r="K38" i="4"/>
  <c r="K39" i="4"/>
  <c r="K37" i="4"/>
  <c r="O18" i="4"/>
  <c r="AD52" i="4"/>
  <c r="K51" i="4"/>
  <c r="L52" i="4"/>
  <c r="AC28" i="5"/>
  <c r="AC30" i="5"/>
  <c r="AC29" i="5"/>
  <c r="I28" i="5"/>
  <c r="J28" i="5" s="1"/>
  <c r="K28" i="5" s="1"/>
  <c r="L28" i="5" s="1"/>
  <c r="I30" i="5"/>
  <c r="J30" i="5" s="1"/>
  <c r="K30" i="5" s="1"/>
  <c r="L30" i="5" s="1"/>
  <c r="H24" i="5"/>
  <c r="G39" i="5"/>
  <c r="G45" i="5" s="1"/>
  <c r="G50" i="5" s="1"/>
  <c r="G57" i="4" s="1"/>
  <c r="G64" i="4" s="1"/>
  <c r="G48" i="8" s="1"/>
  <c r="H32" i="5"/>
  <c r="G38" i="5"/>
  <c r="F45" i="5"/>
  <c r="I31" i="5"/>
  <c r="J31" i="5" s="1"/>
  <c r="K31" i="5" s="1"/>
  <c r="L31" i="5" s="1"/>
  <c r="I29" i="5"/>
  <c r="J29" i="5" s="1"/>
  <c r="K29" i="5" s="1"/>
  <c r="L29" i="5" s="1"/>
  <c r="G40" i="5"/>
  <c r="G46" i="5" s="1"/>
  <c r="G51" i="5" s="1"/>
  <c r="G50" i="4" s="1"/>
  <c r="G54" i="4" s="1"/>
  <c r="G49" i="8" s="1"/>
  <c r="H34" i="5"/>
  <c r="J26" i="5"/>
  <c r="AC33" i="5"/>
  <c r="F44" i="5"/>
  <c r="F37" i="5"/>
  <c r="F46" i="5"/>
  <c r="G35" i="5"/>
  <c r="AC35" i="5" s="1"/>
  <c r="I33" i="5"/>
  <c r="J33" i="5" s="1"/>
  <c r="K33" i="5" s="1"/>
  <c r="L33" i="5" s="1"/>
  <c r="AC31" i="5"/>
  <c r="AH53" i="4"/>
  <c r="AD32" i="6"/>
  <c r="H42" i="9"/>
  <c r="K10" i="8"/>
  <c r="K59" i="4"/>
  <c r="P42" i="5"/>
  <c r="Q13" i="2"/>
  <c r="E58" i="6"/>
  <c r="L36" i="4"/>
  <c r="P15" i="2"/>
  <c r="P19" i="5"/>
  <c r="E62" i="8"/>
  <c r="E66" i="8" s="1"/>
  <c r="E98" i="8" s="1"/>
  <c r="E61" i="8"/>
  <c r="E60" i="8"/>
  <c r="M33" i="3"/>
  <c r="M30" i="3"/>
  <c r="N26" i="3"/>
  <c r="P14" i="4"/>
  <c r="P22" i="3"/>
  <c r="E35" i="8"/>
  <c r="O14" i="2"/>
  <c r="N54" i="6"/>
  <c r="D27" i="7"/>
  <c r="C68" i="10"/>
  <c r="AD26" i="3"/>
  <c r="Q34" i="8"/>
  <c r="S13" i="3"/>
  <c r="O24" i="6"/>
  <c r="AE24" i="6" s="1"/>
  <c r="O10" i="5"/>
  <c r="N21" i="5"/>
  <c r="Q18" i="3"/>
  <c r="R12" i="3"/>
  <c r="E22" i="7"/>
  <c r="I41" i="9"/>
  <c r="J39" i="9" s="1"/>
  <c r="L37" i="3"/>
  <c r="K31" i="7"/>
  <c r="AD31" i="7" s="1"/>
  <c r="M21" i="4"/>
  <c r="N22" i="4"/>
  <c r="K43" i="8"/>
  <c r="K45" i="4"/>
  <c r="K63" i="4"/>
  <c r="K21" i="7"/>
  <c r="K14" i="7"/>
  <c r="K19" i="8" s="1"/>
  <c r="K83" i="8"/>
  <c r="K33" i="6"/>
  <c r="AD33" i="6" s="1"/>
  <c r="K30" i="7"/>
  <c r="M10" i="6"/>
  <c r="M13" i="6"/>
  <c r="M14" i="6"/>
  <c r="M12" i="6"/>
  <c r="M61" i="4"/>
  <c r="M60" i="4" s="1"/>
  <c r="M11" i="6"/>
  <c r="J19" i="8"/>
  <c r="J77" i="8" s="1"/>
  <c r="J10" i="8"/>
  <c r="J59" i="4"/>
  <c r="J17" i="8"/>
  <c r="I17" i="8"/>
  <c r="I75" i="8" s="1"/>
  <c r="AE14" i="4"/>
  <c r="AE18" i="4" s="1"/>
  <c r="Q16" i="4"/>
  <c r="R14" i="3"/>
  <c r="R17" i="4"/>
  <c r="S15" i="3"/>
  <c r="L60" i="4"/>
  <c r="Q107" i="8"/>
  <c r="Q108" i="8" s="1"/>
  <c r="R105" i="8"/>
  <c r="AE19" i="5"/>
  <c r="AE21" i="5" s="1"/>
  <c r="N49" i="4"/>
  <c r="N13" i="7"/>
  <c r="P16" i="4"/>
  <c r="P88" i="6"/>
  <c r="AE88" i="6"/>
  <c r="E57" i="6"/>
  <c r="L32" i="6"/>
  <c r="N9" i="7"/>
  <c r="O17" i="7"/>
  <c r="AE17" i="7" s="1"/>
  <c r="J101" i="8"/>
  <c r="J84" i="8"/>
  <c r="K40" i="4" l="1"/>
  <c r="AD40" i="4" s="1"/>
  <c r="C132" i="10" s="1"/>
  <c r="K33" i="4"/>
  <c r="L39" i="4"/>
  <c r="L37" i="4"/>
  <c r="L38" i="4"/>
  <c r="AD31" i="5"/>
  <c r="AD28" i="5"/>
  <c r="AD33" i="5"/>
  <c r="M52" i="4"/>
  <c r="L51" i="4"/>
  <c r="AC40" i="5"/>
  <c r="AD29" i="5"/>
  <c r="AD30" i="5"/>
  <c r="M31" i="5"/>
  <c r="N31" i="5" s="1"/>
  <c r="O31" i="5" s="1"/>
  <c r="P31" i="5" s="1"/>
  <c r="I24" i="5"/>
  <c r="H35" i="5"/>
  <c r="H39" i="5"/>
  <c r="K26" i="5"/>
  <c r="F51" i="5"/>
  <c r="AC46" i="5"/>
  <c r="H40" i="5"/>
  <c r="H46" i="5" s="1"/>
  <c r="I34" i="5"/>
  <c r="AC39" i="5"/>
  <c r="F43" i="5"/>
  <c r="F50" i="5"/>
  <c r="AC45" i="5"/>
  <c r="M30" i="5"/>
  <c r="N30" i="5" s="1"/>
  <c r="O30" i="5" s="1"/>
  <c r="P30" i="5" s="1"/>
  <c r="F49" i="5"/>
  <c r="AC38" i="5"/>
  <c r="G44" i="5"/>
  <c r="G49" i="5" s="1"/>
  <c r="G44" i="4" s="1"/>
  <c r="G37" i="5"/>
  <c r="G43" i="5" s="1"/>
  <c r="G48" i="5" s="1"/>
  <c r="M33" i="5"/>
  <c r="N33" i="5" s="1"/>
  <c r="O33" i="5" s="1"/>
  <c r="P33" i="5" s="1"/>
  <c r="M29" i="5"/>
  <c r="N29" i="5" s="1"/>
  <c r="O29" i="5" s="1"/>
  <c r="P29" i="5" s="1"/>
  <c r="I32" i="5"/>
  <c r="H38" i="5"/>
  <c r="M28" i="5"/>
  <c r="N28" i="5" s="1"/>
  <c r="O28" i="5" s="1"/>
  <c r="P28" i="5" s="1"/>
  <c r="AD59" i="4"/>
  <c r="C139" i="10" s="1"/>
  <c r="I42" i="9"/>
  <c r="T15" i="3"/>
  <c r="S17" i="4"/>
  <c r="M32" i="6"/>
  <c r="K84" i="8"/>
  <c r="K101" i="8"/>
  <c r="O22" i="4"/>
  <c r="N21" i="4"/>
  <c r="P10" i="5"/>
  <c r="O21" i="5"/>
  <c r="T13" i="3"/>
  <c r="S15" i="4"/>
  <c r="R34" i="8"/>
  <c r="P14" i="2"/>
  <c r="O54" i="6"/>
  <c r="E69" i="6"/>
  <c r="M36" i="4"/>
  <c r="L83" i="8"/>
  <c r="L33" i="6"/>
  <c r="L30" i="7"/>
  <c r="L39" i="6"/>
  <c r="S14" i="3"/>
  <c r="K77" i="8"/>
  <c r="P24" i="6"/>
  <c r="E78" i="8"/>
  <c r="E36" i="8"/>
  <c r="O26" i="3"/>
  <c r="N30" i="3"/>
  <c r="N33" i="3"/>
  <c r="S105" i="8"/>
  <c r="R107" i="8"/>
  <c r="R108" i="8" s="1"/>
  <c r="Q42" i="5"/>
  <c r="R13" i="2"/>
  <c r="P17" i="7"/>
  <c r="Q88" i="6"/>
  <c r="R18" i="3"/>
  <c r="S12" i="3"/>
  <c r="AF12" i="3" s="1"/>
  <c r="E23" i="7"/>
  <c r="E24" i="7" s="1"/>
  <c r="O9" i="7"/>
  <c r="AE9" i="7" s="1"/>
  <c r="E62" i="6"/>
  <c r="E68" i="6"/>
  <c r="O13" i="7"/>
  <c r="L31" i="7"/>
  <c r="K32" i="7"/>
  <c r="L43" i="8"/>
  <c r="L63" i="4"/>
  <c r="L45" i="4"/>
  <c r="L21" i="7"/>
  <c r="L14" i="7"/>
  <c r="Q14" i="4"/>
  <c r="Q18" i="4" s="1"/>
  <c r="Q22" i="3"/>
  <c r="AF13" i="3"/>
  <c r="D18" i="8"/>
  <c r="D35" i="7"/>
  <c r="D37" i="7" s="1"/>
  <c r="M37" i="3"/>
  <c r="E12" i="8"/>
  <c r="E59" i="8"/>
  <c r="E63" i="8" s="1"/>
  <c r="Q19" i="5"/>
  <c r="O49" i="4"/>
  <c r="AF15" i="3"/>
  <c r="J75" i="8"/>
  <c r="AD14" i="7"/>
  <c r="AD30" i="7"/>
  <c r="J41" i="9"/>
  <c r="K39" i="9" s="1"/>
  <c r="N61" i="4"/>
  <c r="N12" i="6"/>
  <c r="N14" i="6"/>
  <c r="N10" i="6"/>
  <c r="N13" i="6"/>
  <c r="N11" i="6"/>
  <c r="R15" i="4"/>
  <c r="P18" i="4"/>
  <c r="Q15" i="2"/>
  <c r="K43" i="4" l="1"/>
  <c r="L40" i="4"/>
  <c r="L43" i="4" s="1"/>
  <c r="M39" i="4"/>
  <c r="L33" i="4"/>
  <c r="M38" i="4"/>
  <c r="M37" i="4"/>
  <c r="AF15" i="4"/>
  <c r="AE29" i="5"/>
  <c r="M51" i="4"/>
  <c r="N52" i="4"/>
  <c r="AE30" i="5"/>
  <c r="AE31" i="5"/>
  <c r="H45" i="5"/>
  <c r="Q28" i="5"/>
  <c r="R28" i="5" s="1"/>
  <c r="S28" i="5" s="1"/>
  <c r="T28" i="5" s="1"/>
  <c r="AE33" i="5"/>
  <c r="F44" i="4"/>
  <c r="AC49" i="5"/>
  <c r="B107" i="10" s="1"/>
  <c r="F48" i="5"/>
  <c r="AC48" i="5" s="1"/>
  <c r="B111" i="10" s="1"/>
  <c r="AC43" i="5"/>
  <c r="F50" i="4"/>
  <c r="AC51" i="5"/>
  <c r="B109" i="10" s="1"/>
  <c r="J24" i="5"/>
  <c r="I39" i="5"/>
  <c r="I45" i="5" s="1"/>
  <c r="I50" i="5" s="1"/>
  <c r="I57" i="4" s="1"/>
  <c r="I64" i="4" s="1"/>
  <c r="I35" i="5"/>
  <c r="L26" i="5"/>
  <c r="M26" i="5" s="1"/>
  <c r="N26" i="5" s="1"/>
  <c r="O26" i="5" s="1"/>
  <c r="H44" i="5"/>
  <c r="H37" i="5"/>
  <c r="Q30" i="5"/>
  <c r="R30" i="5" s="1"/>
  <c r="S30" i="5" s="1"/>
  <c r="T30" i="5" s="1"/>
  <c r="Q31" i="5"/>
  <c r="R31" i="5" s="1"/>
  <c r="S31" i="5" s="1"/>
  <c r="T31" i="5" s="1"/>
  <c r="I38" i="5"/>
  <c r="J32" i="5"/>
  <c r="G46" i="4"/>
  <c r="G66" i="4" s="1"/>
  <c r="G44" i="6"/>
  <c r="I40" i="5"/>
  <c r="I46" i="5" s="1"/>
  <c r="I51" i="5" s="1"/>
  <c r="I50" i="4" s="1"/>
  <c r="I54" i="4" s="1"/>
  <c r="I49" i="8" s="1"/>
  <c r="J34" i="5"/>
  <c r="Q33" i="5"/>
  <c r="R33" i="5" s="1"/>
  <c r="S33" i="5" s="1"/>
  <c r="T33" i="5" s="1"/>
  <c r="F57" i="4"/>
  <c r="AC50" i="5"/>
  <c r="B108" i="10" s="1"/>
  <c r="H51" i="5"/>
  <c r="AE28" i="5"/>
  <c r="Q29" i="5"/>
  <c r="R29" i="5" s="1"/>
  <c r="S29" i="5" s="1"/>
  <c r="T29" i="5" s="1"/>
  <c r="AC44" i="5"/>
  <c r="AC37" i="5"/>
  <c r="J42" i="9"/>
  <c r="E79" i="8"/>
  <c r="E13" i="8"/>
  <c r="L19" i="8"/>
  <c r="L77" i="8" s="1"/>
  <c r="P13" i="7"/>
  <c r="R42" i="5"/>
  <c r="S13" i="2"/>
  <c r="T14" i="3"/>
  <c r="S16" i="4"/>
  <c r="N36" i="4"/>
  <c r="AG15" i="3"/>
  <c r="R19" i="5"/>
  <c r="S34" i="8"/>
  <c r="P22" i="4"/>
  <c r="O21" i="4"/>
  <c r="N37" i="3"/>
  <c r="M31" i="7"/>
  <c r="L32" i="7"/>
  <c r="Q14" i="2"/>
  <c r="P54" i="6"/>
  <c r="M83" i="8"/>
  <c r="M33" i="6"/>
  <c r="M30" i="7"/>
  <c r="M39" i="6"/>
  <c r="N60" i="4"/>
  <c r="R88" i="6"/>
  <c r="L10" i="8"/>
  <c r="L59" i="4"/>
  <c r="M43" i="8"/>
  <c r="M63" i="4"/>
  <c r="M45" i="4"/>
  <c r="M21" i="7"/>
  <c r="M14" i="7"/>
  <c r="M19" i="8" s="1"/>
  <c r="AG13" i="3"/>
  <c r="S18" i="3"/>
  <c r="T12" i="3"/>
  <c r="P26" i="3"/>
  <c r="O30" i="3"/>
  <c r="O33" i="3"/>
  <c r="AF14" i="3"/>
  <c r="O61" i="4"/>
  <c r="O60" i="4" s="1"/>
  <c r="O14" i="6"/>
  <c r="O13" i="6"/>
  <c r="O12" i="6"/>
  <c r="O10" i="6"/>
  <c r="O11" i="6"/>
  <c r="P9" i="7"/>
  <c r="K41" i="9"/>
  <c r="L39" i="9" s="1"/>
  <c r="N32" i="6"/>
  <c r="E70" i="6"/>
  <c r="E78" i="6"/>
  <c r="R15" i="2"/>
  <c r="P49" i="4"/>
  <c r="E71" i="8"/>
  <c r="E30" i="8"/>
  <c r="E29" i="8" s="1"/>
  <c r="D76" i="8"/>
  <c r="D73" i="8" s="1"/>
  <c r="K17" i="8"/>
  <c r="K75" i="8" s="1"/>
  <c r="AD32" i="7"/>
  <c r="E25" i="7"/>
  <c r="E26" i="7" s="1"/>
  <c r="R22" i="3"/>
  <c r="R14" i="4"/>
  <c r="Q17" i="7"/>
  <c r="T105" i="8"/>
  <c r="S107" i="8"/>
  <c r="S108" i="8" s="1"/>
  <c r="Q24" i="6"/>
  <c r="R16" i="4"/>
  <c r="L101" i="8"/>
  <c r="L84" i="8"/>
  <c r="E135" i="8"/>
  <c r="E79" i="6"/>
  <c r="P21" i="5"/>
  <c r="Q10" i="5"/>
  <c r="M40" i="4" l="1"/>
  <c r="M43" i="4" s="1"/>
  <c r="M33" i="4"/>
  <c r="N39" i="4"/>
  <c r="N38" i="4"/>
  <c r="N37" i="4"/>
  <c r="AF16" i="4"/>
  <c r="AF31" i="5"/>
  <c r="AF29" i="5"/>
  <c r="N51" i="4"/>
  <c r="O52" i="4"/>
  <c r="G68" i="4"/>
  <c r="G22" i="7" s="1"/>
  <c r="G23" i="7" s="1"/>
  <c r="G18" i="7"/>
  <c r="G35" i="8" s="1"/>
  <c r="G36" i="8" s="1"/>
  <c r="H49" i="5"/>
  <c r="F44" i="6"/>
  <c r="F46" i="4"/>
  <c r="AC46" i="4" s="1"/>
  <c r="F64" i="4"/>
  <c r="AC64" i="4" s="1"/>
  <c r="AC57" i="4"/>
  <c r="D27" i="10"/>
  <c r="D26" i="10" s="1"/>
  <c r="G53" i="6"/>
  <c r="U31" i="5"/>
  <c r="V31" i="5" s="1"/>
  <c r="W31" i="5" s="1"/>
  <c r="X31" i="5" s="1"/>
  <c r="Y31" i="5" s="1"/>
  <c r="Z31" i="5" s="1"/>
  <c r="AA31" i="5" s="1"/>
  <c r="AH31" i="5" s="1"/>
  <c r="K24" i="5"/>
  <c r="J39" i="5"/>
  <c r="J35" i="5"/>
  <c r="O32" i="6"/>
  <c r="O39" i="6" s="1"/>
  <c r="U29" i="5"/>
  <c r="V29" i="5" s="1"/>
  <c r="W29" i="5" s="1"/>
  <c r="X29" i="5" s="1"/>
  <c r="Y29" i="5" s="1"/>
  <c r="Z29" i="5" s="1"/>
  <c r="AA29" i="5" s="1"/>
  <c r="AH29" i="5" s="1"/>
  <c r="AF33" i="5"/>
  <c r="G10" i="7"/>
  <c r="G16" i="8" s="1"/>
  <c r="G44" i="8"/>
  <c r="G45" i="8" s="1"/>
  <c r="G50" i="8" s="1"/>
  <c r="G54" i="8" s="1"/>
  <c r="G57" i="8" s="1"/>
  <c r="AF30" i="5"/>
  <c r="F54" i="4"/>
  <c r="AC50" i="4"/>
  <c r="AF28" i="5"/>
  <c r="U33" i="5"/>
  <c r="V33" i="5" s="1"/>
  <c r="W33" i="5" s="1"/>
  <c r="X33" i="5" s="1"/>
  <c r="Y33" i="5" s="1"/>
  <c r="Z33" i="5" s="1"/>
  <c r="AA33" i="5" s="1"/>
  <c r="AH33" i="5" s="1"/>
  <c r="AC44" i="4"/>
  <c r="U28" i="5"/>
  <c r="V28" i="5" s="1"/>
  <c r="W28" i="5" s="1"/>
  <c r="X28" i="5" s="1"/>
  <c r="Y28" i="5" s="1"/>
  <c r="Z28" i="5" s="1"/>
  <c r="AA28" i="5" s="1"/>
  <c r="AH28" i="5" s="1"/>
  <c r="U30" i="5"/>
  <c r="V30" i="5" s="1"/>
  <c r="W30" i="5" s="1"/>
  <c r="X30" i="5" s="1"/>
  <c r="Y30" i="5" s="1"/>
  <c r="Z30" i="5" s="1"/>
  <c r="AA30" i="5" s="1"/>
  <c r="AH30" i="5" s="1"/>
  <c r="K32" i="5"/>
  <c r="J38" i="5"/>
  <c r="H50" i="4"/>
  <c r="K34" i="5"/>
  <c r="J40" i="5"/>
  <c r="J46" i="5" s="1"/>
  <c r="J51" i="5" s="1"/>
  <c r="J50" i="4" s="1"/>
  <c r="J54" i="4" s="1"/>
  <c r="J49" i="8" s="1"/>
  <c r="I44" i="5"/>
  <c r="I49" i="5" s="1"/>
  <c r="I44" i="4" s="1"/>
  <c r="I46" i="4" s="1"/>
  <c r="I66" i="4" s="1"/>
  <c r="I37" i="5"/>
  <c r="I43" i="5" s="1"/>
  <c r="I48" i="5" s="1"/>
  <c r="H43" i="5"/>
  <c r="I48" i="8"/>
  <c r="H50" i="5"/>
  <c r="H57" i="4" s="1"/>
  <c r="E80" i="6"/>
  <c r="E27" i="7"/>
  <c r="Q21" i="5"/>
  <c r="R10" i="5"/>
  <c r="U105" i="8"/>
  <c r="T107" i="8"/>
  <c r="T108" i="8" s="1"/>
  <c r="O37" i="3"/>
  <c r="T18" i="3"/>
  <c r="AG12" i="3"/>
  <c r="S88" i="6"/>
  <c r="S19" i="5"/>
  <c r="AF19" i="5" s="1"/>
  <c r="AF21" i="5" s="1"/>
  <c r="M101" i="8"/>
  <c r="M84" i="8"/>
  <c r="P33" i="3"/>
  <c r="P30" i="3"/>
  <c r="Q26" i="3"/>
  <c r="T15" i="4"/>
  <c r="AG15" i="4" s="1"/>
  <c r="M77" i="8"/>
  <c r="Q22" i="4"/>
  <c r="P21" i="4"/>
  <c r="S14" i="4"/>
  <c r="S18" i="4" s="1"/>
  <c r="S22" i="3"/>
  <c r="P26" i="5"/>
  <c r="R18" i="4"/>
  <c r="E93" i="6"/>
  <c r="R24" i="6"/>
  <c r="R17" i="7"/>
  <c r="P36" i="9"/>
  <c r="J36" i="9"/>
  <c r="L36" i="9"/>
  <c r="F36" i="9"/>
  <c r="K36" i="9"/>
  <c r="E36" i="9"/>
  <c r="H36" i="9"/>
  <c r="G36" i="9"/>
  <c r="O36" i="9"/>
  <c r="N36" i="9"/>
  <c r="M36" i="9"/>
  <c r="D100" i="8"/>
  <c r="D102" i="8" s="1"/>
  <c r="I36" i="9"/>
  <c r="D80" i="8"/>
  <c r="Q9" i="7"/>
  <c r="R14" i="2"/>
  <c r="Q54" i="6"/>
  <c r="N43" i="8"/>
  <c r="N63" i="4"/>
  <c r="N45" i="4"/>
  <c r="N21" i="7"/>
  <c r="N14" i="7"/>
  <c r="N19" i="8" s="1"/>
  <c r="N77" i="8" s="1"/>
  <c r="T34" i="8"/>
  <c r="T17" i="4"/>
  <c r="S42" i="5"/>
  <c r="T13" i="2"/>
  <c r="P14" i="6"/>
  <c r="P13" i="6"/>
  <c r="P12" i="6"/>
  <c r="P10" i="6"/>
  <c r="P61" i="4"/>
  <c r="P11" i="6"/>
  <c r="O36" i="4"/>
  <c r="AE36" i="4" s="1"/>
  <c r="AE21" i="4" s="1"/>
  <c r="S15" i="2"/>
  <c r="N83" i="8"/>
  <c r="N33" i="6"/>
  <c r="N30" i="7"/>
  <c r="N39" i="6"/>
  <c r="K42" i="9"/>
  <c r="AE61" i="4"/>
  <c r="M10" i="8"/>
  <c r="M59" i="4"/>
  <c r="Q13" i="7"/>
  <c r="Q49" i="4"/>
  <c r="AG14" i="3"/>
  <c r="AE14" i="3"/>
  <c r="AE10" i="6"/>
  <c r="L41" i="9"/>
  <c r="M39" i="9" s="1"/>
  <c r="AE60" i="4"/>
  <c r="D137" i="10" s="1"/>
  <c r="N31" i="7"/>
  <c r="M32" i="7"/>
  <c r="L17" i="8"/>
  <c r="L75" i="8" s="1"/>
  <c r="AE32" i="6" l="1"/>
  <c r="N40" i="4"/>
  <c r="N43" i="4" s="1"/>
  <c r="O39" i="4"/>
  <c r="O37" i="4"/>
  <c r="AE37" i="4" s="1"/>
  <c r="O38" i="4"/>
  <c r="N33" i="4"/>
  <c r="O33" i="6"/>
  <c r="O83" i="8"/>
  <c r="O84" i="8" s="1"/>
  <c r="AG29" i="5"/>
  <c r="AG31" i="5"/>
  <c r="P52" i="4"/>
  <c r="O51" i="4"/>
  <c r="AE52" i="4"/>
  <c r="AG30" i="5"/>
  <c r="AF14" i="4"/>
  <c r="I68" i="4"/>
  <c r="I22" i="7" s="1"/>
  <c r="I23" i="7" s="1"/>
  <c r="I18" i="7"/>
  <c r="I35" i="8" s="1"/>
  <c r="I36" i="8" s="1"/>
  <c r="J44" i="5"/>
  <c r="J49" i="5" s="1"/>
  <c r="J44" i="4" s="1"/>
  <c r="J37" i="5"/>
  <c r="J43" i="5" s="1"/>
  <c r="J48" i="5" s="1"/>
  <c r="AG28" i="5"/>
  <c r="J45" i="5"/>
  <c r="B133" i="10"/>
  <c r="B141" i="10" s="1"/>
  <c r="B162" i="10" s="1"/>
  <c r="K40" i="5"/>
  <c r="K46" i="5" s="1"/>
  <c r="K51" i="5" s="1"/>
  <c r="K50" i="4" s="1"/>
  <c r="K54" i="4" s="1"/>
  <c r="K49" i="8" s="1"/>
  <c r="L34" i="5"/>
  <c r="K38" i="5"/>
  <c r="L32" i="5"/>
  <c r="F49" i="8"/>
  <c r="AC54" i="4"/>
  <c r="L24" i="5"/>
  <c r="K39" i="5"/>
  <c r="K45" i="5" s="1"/>
  <c r="K50" i="5" s="1"/>
  <c r="K57" i="4" s="1"/>
  <c r="K64" i="4" s="1"/>
  <c r="K35" i="5"/>
  <c r="O30" i="7"/>
  <c r="AE30" i="7" s="1"/>
  <c r="AD24" i="5"/>
  <c r="F10" i="7"/>
  <c r="F44" i="8"/>
  <c r="F45" i="8" s="1"/>
  <c r="F46" i="8" s="1"/>
  <c r="F48" i="8"/>
  <c r="F66" i="4"/>
  <c r="AC66" i="4" s="1"/>
  <c r="H48" i="5"/>
  <c r="H54" i="4"/>
  <c r="AG33" i="5"/>
  <c r="G61" i="8"/>
  <c r="G62" i="8"/>
  <c r="C27" i="10"/>
  <c r="F53" i="6"/>
  <c r="AC44" i="6"/>
  <c r="AC53" i="6" s="1"/>
  <c r="G54" i="6"/>
  <c r="G58" i="6" s="1"/>
  <c r="G69" i="6" s="1"/>
  <c r="G79" i="6" s="1"/>
  <c r="H64" i="4"/>
  <c r="I44" i="8"/>
  <c r="I45" i="8" s="1"/>
  <c r="I10" i="7"/>
  <c r="I16" i="8" s="1"/>
  <c r="AD32" i="5"/>
  <c r="H44" i="4"/>
  <c r="H46" i="4" s="1"/>
  <c r="L42" i="9"/>
  <c r="M17" i="8"/>
  <c r="M75" i="8" s="1"/>
  <c r="T16" i="4"/>
  <c r="AG16" i="4" s="1"/>
  <c r="T15" i="2"/>
  <c r="P32" i="6"/>
  <c r="T42" i="5"/>
  <c r="U13" i="2"/>
  <c r="R9" i="7"/>
  <c r="S24" i="6"/>
  <c r="AF24" i="6" s="1"/>
  <c r="R21" i="5"/>
  <c r="S10" i="5"/>
  <c r="R13" i="7"/>
  <c r="N10" i="8"/>
  <c r="N59" i="4"/>
  <c r="AE39" i="6"/>
  <c r="P36" i="4"/>
  <c r="T19" i="5"/>
  <c r="T14" i="4"/>
  <c r="T22" i="3"/>
  <c r="AG18" i="3"/>
  <c r="AE18" i="3"/>
  <c r="AE22" i="3" s="1"/>
  <c r="AF18" i="3"/>
  <c r="AF22" i="3" s="1"/>
  <c r="Q26" i="5"/>
  <c r="R49" i="4"/>
  <c r="O31" i="7"/>
  <c r="N32" i="7"/>
  <c r="AG17" i="4"/>
  <c r="AF17" i="4"/>
  <c r="S14" i="2"/>
  <c r="R54" i="6"/>
  <c r="D121" i="8"/>
  <c r="D109" i="8"/>
  <c r="Q36" i="9"/>
  <c r="S17" i="7"/>
  <c r="AF17" i="7" s="1"/>
  <c r="R22" i="4"/>
  <c r="Q21" i="4"/>
  <c r="R26" i="3"/>
  <c r="Q33" i="3"/>
  <c r="Q30" i="3"/>
  <c r="O43" i="8"/>
  <c r="O63" i="4"/>
  <c r="AE63" i="4" s="1"/>
  <c r="O45" i="4"/>
  <c r="O21" i="7"/>
  <c r="O14" i="7"/>
  <c r="O19" i="8" s="1"/>
  <c r="O77" i="8" s="1"/>
  <c r="Q14" i="6"/>
  <c r="Q13" i="6"/>
  <c r="Q12" i="6"/>
  <c r="Q10" i="6"/>
  <c r="Q61" i="4"/>
  <c r="Q60" i="4" s="1"/>
  <c r="Q11" i="6"/>
  <c r="O10" i="8"/>
  <c r="O59" i="4"/>
  <c r="M41" i="9"/>
  <c r="N39" i="9" s="1"/>
  <c r="N84" i="8"/>
  <c r="N101" i="8"/>
  <c r="P60" i="4"/>
  <c r="U34" i="8"/>
  <c r="P37" i="3"/>
  <c r="T88" i="6"/>
  <c r="AF88" i="6"/>
  <c r="V105" i="8"/>
  <c r="U107" i="8"/>
  <c r="U108" i="8" s="1"/>
  <c r="E18" i="8"/>
  <c r="E35" i="7"/>
  <c r="E37" i="7" s="1"/>
  <c r="O101" i="8" l="1"/>
  <c r="O40" i="4"/>
  <c r="AE40" i="4" s="1"/>
  <c r="D132" i="10" s="1"/>
  <c r="P37" i="4"/>
  <c r="P38" i="4"/>
  <c r="O33" i="4"/>
  <c r="P39" i="4"/>
  <c r="P31" i="7"/>
  <c r="G57" i="6"/>
  <c r="G68" i="6" s="1"/>
  <c r="AG22" i="3"/>
  <c r="AD46" i="5"/>
  <c r="O32" i="7"/>
  <c r="AE32" i="7" s="1"/>
  <c r="G135" i="8"/>
  <c r="AF18" i="4"/>
  <c r="Q52" i="4"/>
  <c r="P51" i="4"/>
  <c r="I50" i="8"/>
  <c r="I46" i="8"/>
  <c r="F16" i="8"/>
  <c r="AC10" i="7"/>
  <c r="AD51" i="5"/>
  <c r="C109" i="10" s="1"/>
  <c r="G66" i="8"/>
  <c r="G98" i="8" s="1"/>
  <c r="K48" i="8"/>
  <c r="L40" i="5"/>
  <c r="M34" i="5"/>
  <c r="M24" i="5"/>
  <c r="L39" i="5"/>
  <c r="L45" i="5" s="1"/>
  <c r="L50" i="5" s="1"/>
  <c r="L57" i="4" s="1"/>
  <c r="L64" i="4" s="1"/>
  <c r="L48" i="8" s="1"/>
  <c r="L35" i="5"/>
  <c r="H66" i="4"/>
  <c r="H48" i="8"/>
  <c r="F68" i="4"/>
  <c r="F18" i="7"/>
  <c r="J46" i="4"/>
  <c r="F54" i="6"/>
  <c r="F57" i="6" s="1"/>
  <c r="AD50" i="4"/>
  <c r="F50" i="8"/>
  <c r="M32" i="5"/>
  <c r="L38" i="5"/>
  <c r="AD39" i="5"/>
  <c r="H10" i="7"/>
  <c r="H44" i="8"/>
  <c r="H45" i="8" s="1"/>
  <c r="H46" i="8" s="1"/>
  <c r="C26" i="10"/>
  <c r="E26" i="10" s="1"/>
  <c r="E27" i="10"/>
  <c r="H49" i="8"/>
  <c r="AD54" i="4"/>
  <c r="AD38" i="5"/>
  <c r="K44" i="5"/>
  <c r="K49" i="5" s="1"/>
  <c r="K44" i="4" s="1"/>
  <c r="K46" i="4" s="1"/>
  <c r="K66" i="4" s="1"/>
  <c r="K37" i="5"/>
  <c r="J50" i="5"/>
  <c r="J57" i="4" s="1"/>
  <c r="AD45" i="5"/>
  <c r="S49" i="4"/>
  <c r="E76" i="8"/>
  <c r="U88" i="6"/>
  <c r="N41" i="9"/>
  <c r="O39" i="9" s="1"/>
  <c r="Q37" i="3"/>
  <c r="T18" i="4"/>
  <c r="AG14" i="4"/>
  <c r="AG18" i="4" s="1"/>
  <c r="U19" i="5"/>
  <c r="R14" i="6"/>
  <c r="R13" i="6"/>
  <c r="R12" i="6"/>
  <c r="R10" i="6"/>
  <c r="R61" i="4"/>
  <c r="R11" i="6"/>
  <c r="R33" i="3"/>
  <c r="R30" i="3"/>
  <c r="S26" i="3"/>
  <c r="U42" i="5"/>
  <c r="V13" i="2"/>
  <c r="P43" i="8"/>
  <c r="P45" i="4"/>
  <c r="P63" i="4"/>
  <c r="P21" i="7"/>
  <c r="P14" i="7"/>
  <c r="Q36" i="4"/>
  <c r="N17" i="8"/>
  <c r="N75" i="8" s="1"/>
  <c r="S13" i="7"/>
  <c r="AF13" i="7" s="1"/>
  <c r="T24" i="6"/>
  <c r="U15" i="2"/>
  <c r="Q32" i="6"/>
  <c r="S22" i="4"/>
  <c r="R21" i="4"/>
  <c r="D125" i="8"/>
  <c r="R26" i="5"/>
  <c r="P83" i="8"/>
  <c r="P33" i="6"/>
  <c r="P39" i="6"/>
  <c r="P30" i="7"/>
  <c r="S9" i="7"/>
  <c r="AF9" i="7" s="1"/>
  <c r="V34" i="8"/>
  <c r="V107" i="8"/>
  <c r="V108" i="8" s="1"/>
  <c r="W105" i="8"/>
  <c r="M42" i="9"/>
  <c r="AE21" i="7"/>
  <c r="T17" i="7"/>
  <c r="D122" i="8"/>
  <c r="D123" i="8" s="1"/>
  <c r="T14" i="2"/>
  <c r="S54" i="6"/>
  <c r="S21" i="5"/>
  <c r="T10" i="5"/>
  <c r="AF10" i="5"/>
  <c r="E73" i="8" l="1"/>
  <c r="E100" i="8" s="1"/>
  <c r="E102" i="8" s="1"/>
  <c r="O43" i="4"/>
  <c r="AE43" i="4" s="1"/>
  <c r="D136" i="10" s="1"/>
  <c r="P40" i="4"/>
  <c r="P43" i="4" s="1"/>
  <c r="Q38" i="4"/>
  <c r="Q37" i="4"/>
  <c r="P33" i="4"/>
  <c r="Q39" i="4"/>
  <c r="AC57" i="6"/>
  <c r="G62" i="6"/>
  <c r="AD46" i="4"/>
  <c r="AC54" i="6"/>
  <c r="O17" i="8"/>
  <c r="O75" i="8" s="1"/>
  <c r="F58" i="6"/>
  <c r="F69" i="6" s="1"/>
  <c r="B40" i="10" s="1"/>
  <c r="R52" i="4"/>
  <c r="Q51" i="4"/>
  <c r="F54" i="8"/>
  <c r="F57" i="8" s="1"/>
  <c r="F61" i="8" s="1"/>
  <c r="F51" i="8"/>
  <c r="AD49" i="5"/>
  <c r="C107" i="10" s="1"/>
  <c r="AD44" i="4"/>
  <c r="F35" i="8"/>
  <c r="F36" i="8" s="1"/>
  <c r="AC18" i="7"/>
  <c r="F74" i="8"/>
  <c r="G74" i="8"/>
  <c r="F27" i="10"/>
  <c r="F22" i="7"/>
  <c r="AC22" i="7" s="1"/>
  <c r="AC68" i="4"/>
  <c r="F33" i="10"/>
  <c r="F32" i="10"/>
  <c r="F26" i="10"/>
  <c r="F31" i="10"/>
  <c r="F34" i="10"/>
  <c r="F30" i="10"/>
  <c r="F35" i="10"/>
  <c r="F28" i="10"/>
  <c r="F36" i="10"/>
  <c r="F29" i="10"/>
  <c r="AD44" i="5"/>
  <c r="I54" i="8"/>
  <c r="I57" i="8" s="1"/>
  <c r="I51" i="8"/>
  <c r="K68" i="4"/>
  <c r="K22" i="7" s="1"/>
  <c r="K23" i="7" s="1"/>
  <c r="K18" i="7"/>
  <c r="K35" i="8" s="1"/>
  <c r="K36" i="8" s="1"/>
  <c r="H16" i="8"/>
  <c r="H50" i="8"/>
  <c r="N24" i="5"/>
  <c r="M39" i="5"/>
  <c r="M45" i="5" s="1"/>
  <c r="M50" i="5" s="1"/>
  <c r="M57" i="4" s="1"/>
  <c r="M64" i="4" s="1"/>
  <c r="M35" i="5"/>
  <c r="N32" i="5"/>
  <c r="M38" i="5"/>
  <c r="J64" i="4"/>
  <c r="AD64" i="4" s="1"/>
  <c r="AD57" i="4"/>
  <c r="J10" i="7"/>
  <c r="J16" i="8" s="1"/>
  <c r="J74" i="8" s="1"/>
  <c r="J44" i="8"/>
  <c r="J45" i="8" s="1"/>
  <c r="J46" i="8" s="1"/>
  <c r="H68" i="4"/>
  <c r="H18" i="7"/>
  <c r="K43" i="5"/>
  <c r="AD37" i="5"/>
  <c r="F68" i="6"/>
  <c r="B41" i="10" s="1"/>
  <c r="M40" i="5"/>
  <c r="M46" i="5" s="1"/>
  <c r="M51" i="5" s="1"/>
  <c r="M50" i="4" s="1"/>
  <c r="M54" i="4" s="1"/>
  <c r="M49" i="8" s="1"/>
  <c r="N34" i="5"/>
  <c r="K44" i="8"/>
  <c r="K45" i="8" s="1"/>
  <c r="K10" i="7"/>
  <c r="K16" i="8" s="1"/>
  <c r="L44" i="5"/>
  <c r="L37" i="5"/>
  <c r="L43" i="5" s="1"/>
  <c r="L46" i="5"/>
  <c r="G70" i="6"/>
  <c r="G93" i="6" s="1"/>
  <c r="G78" i="6"/>
  <c r="G80" i="6" s="1"/>
  <c r="N42" i="9"/>
  <c r="U10" i="5"/>
  <c r="T21" i="5"/>
  <c r="W107" i="8"/>
  <c r="W108" i="8" s="1"/>
  <c r="X105" i="8"/>
  <c r="P101" i="8"/>
  <c r="P84" i="8"/>
  <c r="S21" i="4"/>
  <c r="T22" i="4"/>
  <c r="P19" i="8"/>
  <c r="P77" i="8" s="1"/>
  <c r="V19" i="5"/>
  <c r="T49" i="4"/>
  <c r="R37" i="3"/>
  <c r="S10" i="6"/>
  <c r="S13" i="6"/>
  <c r="S61" i="4"/>
  <c r="S60" i="4" s="1"/>
  <c r="S14" i="6"/>
  <c r="S12" i="6"/>
  <c r="S11" i="6"/>
  <c r="Q31" i="7"/>
  <c r="P32" i="7"/>
  <c r="U24" i="6"/>
  <c r="O41" i="9"/>
  <c r="P39" i="9" s="1"/>
  <c r="V42" i="5"/>
  <c r="W13" i="2"/>
  <c r="U17" i="7"/>
  <c r="W34" i="8"/>
  <c r="Q83" i="8"/>
  <c r="Q33" i="6"/>
  <c r="Q39" i="6"/>
  <c r="Q30" i="7"/>
  <c r="T13" i="7"/>
  <c r="P10" i="8"/>
  <c r="P59" i="4"/>
  <c r="D126" i="8"/>
  <c r="D127" i="8" s="1"/>
  <c r="R60" i="4"/>
  <c r="Q43" i="8"/>
  <c r="Q45" i="4"/>
  <c r="Q63" i="4"/>
  <c r="Q21" i="7"/>
  <c r="Q14" i="7"/>
  <c r="Q19" i="8" s="1"/>
  <c r="AF49" i="4"/>
  <c r="E138" i="10" s="1"/>
  <c r="U14" i="2"/>
  <c r="T54" i="6"/>
  <c r="T9" i="7"/>
  <c r="S26" i="5"/>
  <c r="R36" i="4"/>
  <c r="V15" i="2"/>
  <c r="S33" i="3"/>
  <c r="S30" i="3"/>
  <c r="T26" i="3"/>
  <c r="R32" i="6"/>
  <c r="V88" i="6"/>
  <c r="E80" i="8" l="1"/>
  <c r="Q40" i="4"/>
  <c r="Q43" i="4" s="1"/>
  <c r="R37" i="4"/>
  <c r="R38" i="4"/>
  <c r="Q33" i="4"/>
  <c r="R39" i="4"/>
  <c r="AC58" i="6"/>
  <c r="AC62" i="6" s="1"/>
  <c r="B161" i="10" s="1"/>
  <c r="E202" i="10" s="1"/>
  <c r="F62" i="6"/>
  <c r="F60" i="8"/>
  <c r="F12" i="8" s="1"/>
  <c r="C133" i="10"/>
  <c r="F23" i="7"/>
  <c r="F24" i="7" s="1"/>
  <c r="F25" i="7" s="1"/>
  <c r="F26" i="7" s="1"/>
  <c r="G78" i="8"/>
  <c r="F78" i="8"/>
  <c r="F62" i="8"/>
  <c r="F66" i="8" s="1"/>
  <c r="F98" i="8" s="1"/>
  <c r="F135" i="8"/>
  <c r="F79" i="6"/>
  <c r="D73" i="6" s="1"/>
  <c r="S52" i="4"/>
  <c r="R51" i="4"/>
  <c r="K50" i="8"/>
  <c r="K46" i="8"/>
  <c r="B43" i="10"/>
  <c r="B46" i="10" s="1"/>
  <c r="H54" i="8"/>
  <c r="H57" i="8" s="1"/>
  <c r="H61" i="8" s="1"/>
  <c r="H62" i="8" s="1"/>
  <c r="H66" i="8" s="1"/>
  <c r="H98" i="8" s="1"/>
  <c r="H51" i="8"/>
  <c r="AD10" i="7"/>
  <c r="F78" i="6"/>
  <c r="F70" i="6"/>
  <c r="K48" i="5"/>
  <c r="AD48" i="5" s="1"/>
  <c r="C111" i="10" s="1"/>
  <c r="AD43" i="5"/>
  <c r="N38" i="5"/>
  <c r="O32" i="5"/>
  <c r="H74" i="8"/>
  <c r="I74" i="8"/>
  <c r="M44" i="5"/>
  <c r="M49" i="5" s="1"/>
  <c r="M44" i="4" s="1"/>
  <c r="M46" i="4" s="1"/>
  <c r="M66" i="4" s="1"/>
  <c r="M37" i="5"/>
  <c r="M43" i="5" s="1"/>
  <c r="M48" i="5" s="1"/>
  <c r="S32" i="6"/>
  <c r="S83" i="8" s="1"/>
  <c r="N40" i="5"/>
  <c r="O34" i="5"/>
  <c r="H35" i="8"/>
  <c r="K74" i="8"/>
  <c r="AF61" i="4"/>
  <c r="L48" i="5"/>
  <c r="H22" i="7"/>
  <c r="J48" i="8"/>
  <c r="J50" i="8" s="1"/>
  <c r="J66" i="4"/>
  <c r="AD66" i="4" s="1"/>
  <c r="M48" i="8"/>
  <c r="L51" i="5"/>
  <c r="L49" i="5"/>
  <c r="O24" i="5"/>
  <c r="N35" i="5"/>
  <c r="N39" i="5"/>
  <c r="N45" i="5" s="1"/>
  <c r="N50" i="5" s="1"/>
  <c r="AF60" i="4"/>
  <c r="E137" i="10" s="1"/>
  <c r="Q77" i="8"/>
  <c r="W15" i="2"/>
  <c r="U13" i="7"/>
  <c r="P41" i="9"/>
  <c r="Q41" i="9" s="1"/>
  <c r="Q42" i="9" s="1"/>
  <c r="E69" i="10"/>
  <c r="S36" i="4"/>
  <c r="AF36" i="4" s="1"/>
  <c r="AF21" i="4" s="1"/>
  <c r="W88" i="6"/>
  <c r="R31" i="7"/>
  <c r="Q32" i="7"/>
  <c r="U49" i="4"/>
  <c r="T61" i="4"/>
  <c r="T14" i="6"/>
  <c r="T13" i="6"/>
  <c r="T10" i="6"/>
  <c r="T12" i="6"/>
  <c r="T11" i="6"/>
  <c r="Q10" i="8"/>
  <c r="Q59" i="4"/>
  <c r="V17" i="7"/>
  <c r="V10" i="5"/>
  <c r="U21" i="5"/>
  <c r="U26" i="3"/>
  <c r="T33" i="3"/>
  <c r="T30" i="3"/>
  <c r="T26" i="5"/>
  <c r="S37" i="3"/>
  <c r="U9" i="7"/>
  <c r="W42" i="5"/>
  <c r="AG42" i="5" s="1"/>
  <c r="X13" i="2"/>
  <c r="E121" i="8"/>
  <c r="E109" i="8"/>
  <c r="AF33" i="3"/>
  <c r="W19" i="5"/>
  <c r="P17" i="8"/>
  <c r="P75" i="8" s="1"/>
  <c r="R83" i="8"/>
  <c r="R33" i="6"/>
  <c r="R39" i="6"/>
  <c r="R30" i="7"/>
  <c r="V14" i="2"/>
  <c r="U54" i="6"/>
  <c r="B203" i="10"/>
  <c r="E203" i="10" s="1"/>
  <c r="Q84" i="8"/>
  <c r="Q101" i="8"/>
  <c r="X34" i="8"/>
  <c r="O42" i="9"/>
  <c r="V24" i="6"/>
  <c r="R43" i="8"/>
  <c r="R63" i="4"/>
  <c r="R45" i="4"/>
  <c r="R21" i="7"/>
  <c r="R14" i="7"/>
  <c r="R19" i="8" s="1"/>
  <c r="R77" i="8" s="1"/>
  <c r="U22" i="4"/>
  <c r="T21" i="4"/>
  <c r="X107" i="8"/>
  <c r="X108" i="8" s="1"/>
  <c r="Y105" i="8"/>
  <c r="R33" i="4" l="1"/>
  <c r="R40" i="4"/>
  <c r="R43" i="4" s="1"/>
  <c r="S39" i="4"/>
  <c r="S38" i="4"/>
  <c r="S37" i="4"/>
  <c r="B202" i="10"/>
  <c r="F80" i="6"/>
  <c r="G60" i="8"/>
  <c r="G59" i="8" s="1"/>
  <c r="G63" i="8" s="1"/>
  <c r="F59" i="8"/>
  <c r="F63" i="8" s="1"/>
  <c r="F64" i="8" s="1"/>
  <c r="G24" i="7"/>
  <c r="G25" i="7" s="1"/>
  <c r="G26" i="7" s="1"/>
  <c r="AC26" i="7" s="1"/>
  <c r="S39" i="6"/>
  <c r="S59" i="4" s="1"/>
  <c r="AF52" i="4"/>
  <c r="S51" i="4"/>
  <c r="T52" i="4"/>
  <c r="F27" i="7"/>
  <c r="D75" i="6"/>
  <c r="AC75" i="6" s="1"/>
  <c r="D78" i="6"/>
  <c r="D80" i="6" s="1"/>
  <c r="J54" i="8"/>
  <c r="J57" i="8" s="1"/>
  <c r="J51" i="8"/>
  <c r="K54" i="8"/>
  <c r="K57" i="8" s="1"/>
  <c r="K51" i="8"/>
  <c r="F93" i="6"/>
  <c r="AC70" i="6"/>
  <c r="AC93" i="6" s="1"/>
  <c r="S30" i="7"/>
  <c r="AF30" i="7" s="1"/>
  <c r="H23" i="7"/>
  <c r="N46" i="5"/>
  <c r="AE32" i="5"/>
  <c r="P32" i="5"/>
  <c r="O38" i="5"/>
  <c r="N57" i="4"/>
  <c r="M68" i="4"/>
  <c r="M22" i="7" s="1"/>
  <c r="M23" i="7" s="1"/>
  <c r="M18" i="7"/>
  <c r="M35" i="8" s="1"/>
  <c r="M36" i="8" s="1"/>
  <c r="N44" i="5"/>
  <c r="N37" i="5"/>
  <c r="N43" i="5" s="1"/>
  <c r="S33" i="6"/>
  <c r="L50" i="4"/>
  <c r="P24" i="5"/>
  <c r="O35" i="5"/>
  <c r="AE35" i="5" s="1"/>
  <c r="O39" i="5"/>
  <c r="AE24" i="5"/>
  <c r="J18" i="7"/>
  <c r="J68" i="4"/>
  <c r="M44" i="8"/>
  <c r="M45" i="8" s="1"/>
  <c r="M10" i="7"/>
  <c r="M16" i="8" s="1"/>
  <c r="H36" i="8"/>
  <c r="H78" i="8"/>
  <c r="I78" i="8"/>
  <c r="F79" i="8"/>
  <c r="F13" i="8"/>
  <c r="L44" i="4"/>
  <c r="L46" i="4" s="1"/>
  <c r="AE34" i="5"/>
  <c r="O40" i="5"/>
  <c r="O46" i="5" s="1"/>
  <c r="O51" i="5" s="1"/>
  <c r="O50" i="4" s="1"/>
  <c r="O54" i="4" s="1"/>
  <c r="O49" i="8" s="1"/>
  <c r="P34" i="5"/>
  <c r="S31" i="7"/>
  <c r="R32" i="7"/>
  <c r="S43" i="8"/>
  <c r="S63" i="4"/>
  <c r="S45" i="4"/>
  <c r="S21" i="7"/>
  <c r="AF21" i="7" s="1"/>
  <c r="S14" i="7"/>
  <c r="U61" i="4"/>
  <c r="U60" i="4" s="1"/>
  <c r="U14" i="6"/>
  <c r="U13" i="6"/>
  <c r="U12" i="6"/>
  <c r="U10" i="6"/>
  <c r="U11" i="6"/>
  <c r="Q17" i="8"/>
  <c r="Q75" i="8" s="1"/>
  <c r="V49" i="4"/>
  <c r="E125" i="8"/>
  <c r="E126" i="8" s="1"/>
  <c r="V26" i="3"/>
  <c r="U33" i="3"/>
  <c r="U30" i="3"/>
  <c r="S101" i="8"/>
  <c r="S84" i="8"/>
  <c r="T32" i="6"/>
  <c r="X15" i="2"/>
  <c r="V22" i="4"/>
  <c r="U21" i="4"/>
  <c r="R101" i="8"/>
  <c r="R84" i="8"/>
  <c r="E68" i="10"/>
  <c r="AF26" i="3"/>
  <c r="E122" i="8"/>
  <c r="E123" i="8" s="1"/>
  <c r="V9" i="7"/>
  <c r="W17" i="7"/>
  <c r="R10" i="8"/>
  <c r="R59" i="4"/>
  <c r="T37" i="3"/>
  <c r="V21" i="5"/>
  <c r="W10" i="5"/>
  <c r="V13" i="7"/>
  <c r="W24" i="6"/>
  <c r="Y34" i="8"/>
  <c r="V54" i="6"/>
  <c r="W14" i="2"/>
  <c r="X42" i="5"/>
  <c r="Y13" i="2"/>
  <c r="X88" i="6"/>
  <c r="AG88" i="6"/>
  <c r="T36" i="4"/>
  <c r="Z105" i="8"/>
  <c r="Y107" i="8"/>
  <c r="Y108" i="8" s="1"/>
  <c r="X19" i="5"/>
  <c r="AG19" i="5"/>
  <c r="AG21" i="5" s="1"/>
  <c r="U26" i="5"/>
  <c r="T60" i="4"/>
  <c r="P42" i="9"/>
  <c r="S40" i="4" l="1"/>
  <c r="S43" i="4" s="1"/>
  <c r="S33" i="4"/>
  <c r="T37" i="4"/>
  <c r="T38" i="4"/>
  <c r="T39" i="4"/>
  <c r="S10" i="8"/>
  <c r="S83" i="6"/>
  <c r="AF83" i="6" s="1"/>
  <c r="H24" i="7"/>
  <c r="H25" i="7" s="1"/>
  <c r="H26" i="7" s="1"/>
  <c r="H60" i="8"/>
  <c r="H59" i="8" s="1"/>
  <c r="H63" i="8" s="1"/>
  <c r="H64" i="8" s="1"/>
  <c r="G12" i="8"/>
  <c r="G13" i="8" s="1"/>
  <c r="T84" i="6"/>
  <c r="H83" i="6"/>
  <c r="M84" i="6"/>
  <c r="Z84" i="6"/>
  <c r="F71" i="8"/>
  <c r="F30" i="8"/>
  <c r="F29" i="8" s="1"/>
  <c r="T31" i="7"/>
  <c r="X83" i="6"/>
  <c r="AA84" i="6"/>
  <c r="AH84" i="6" s="1"/>
  <c r="O84" i="6"/>
  <c r="AE84" i="6" s="1"/>
  <c r="N84" i="6"/>
  <c r="U83" i="6"/>
  <c r="S84" i="6"/>
  <c r="AF84" i="6" s="1"/>
  <c r="Y84" i="6"/>
  <c r="E84" i="6"/>
  <c r="K84" i="6"/>
  <c r="AD84" i="6" s="1"/>
  <c r="J84" i="6"/>
  <c r="L83" i="6"/>
  <c r="Q83" i="6"/>
  <c r="W84" i="6"/>
  <c r="AG84" i="6" s="1"/>
  <c r="W83" i="6"/>
  <c r="AG83" i="6" s="1"/>
  <c r="R84" i="6"/>
  <c r="I84" i="6"/>
  <c r="AC80" i="6"/>
  <c r="Q84" i="6"/>
  <c r="P84" i="6"/>
  <c r="D83" i="6"/>
  <c r="H84" i="6"/>
  <c r="O83" i="6"/>
  <c r="AE83" i="6" s="1"/>
  <c r="F83" i="6"/>
  <c r="E83" i="6"/>
  <c r="AA83" i="6"/>
  <c r="AH83" i="6" s="1"/>
  <c r="G83" i="6"/>
  <c r="AC83" i="6" s="1"/>
  <c r="J83" i="6"/>
  <c r="Y83" i="6"/>
  <c r="N83" i="6"/>
  <c r="V83" i="6"/>
  <c r="T51" i="4"/>
  <c r="U52" i="4"/>
  <c r="V84" i="6"/>
  <c r="L84" i="6"/>
  <c r="F84" i="6"/>
  <c r="T83" i="6"/>
  <c r="T89" i="6" s="1"/>
  <c r="T90" i="6" s="1"/>
  <c r="T27" i="8" s="1"/>
  <c r="R83" i="6"/>
  <c r="I83" i="6"/>
  <c r="G84" i="6"/>
  <c r="AC84" i="6" s="1"/>
  <c r="X84" i="6"/>
  <c r="U84" i="6"/>
  <c r="D84" i="6"/>
  <c r="M83" i="6"/>
  <c r="P83" i="6"/>
  <c r="K83" i="6"/>
  <c r="AD83" i="6" s="1"/>
  <c r="Z83" i="6"/>
  <c r="M50" i="8"/>
  <c r="M46" i="8"/>
  <c r="J22" i="7"/>
  <c r="AD68" i="4"/>
  <c r="J35" i="8"/>
  <c r="J78" i="8" s="1"/>
  <c r="AD18" i="7"/>
  <c r="F18" i="8"/>
  <c r="F76" i="8" s="1"/>
  <c r="F73" i="8" s="1"/>
  <c r="F100" i="8" s="1"/>
  <c r="F102" i="8" s="1"/>
  <c r="G27" i="7"/>
  <c r="F35" i="7"/>
  <c r="F37" i="7" s="1"/>
  <c r="P40" i="5"/>
  <c r="Q34" i="5"/>
  <c r="L54" i="4"/>
  <c r="L66" i="4" s="1"/>
  <c r="L68" i="4" s="1"/>
  <c r="L22" i="7" s="1"/>
  <c r="L23" i="7" s="1"/>
  <c r="AE40" i="5"/>
  <c r="S32" i="7"/>
  <c r="S17" i="8" s="1"/>
  <c r="G71" i="8"/>
  <c r="G30" i="8"/>
  <c r="AE39" i="5"/>
  <c r="O45" i="5"/>
  <c r="O50" i="5" s="1"/>
  <c r="N64" i="4"/>
  <c r="N51" i="5"/>
  <c r="AE46" i="5"/>
  <c r="N48" i="5"/>
  <c r="AE38" i="5"/>
  <c r="O44" i="5"/>
  <c r="O49" i="5" s="1"/>
  <c r="O44" i="4" s="1"/>
  <c r="O37" i="5"/>
  <c r="O43" i="5" s="1"/>
  <c r="O48" i="5" s="1"/>
  <c r="L10" i="7"/>
  <c r="L44" i="8"/>
  <c r="L45" i="8" s="1"/>
  <c r="L46" i="8" s="1"/>
  <c r="Q24" i="5"/>
  <c r="P35" i="5"/>
  <c r="P39" i="5"/>
  <c r="P45" i="5" s="1"/>
  <c r="P50" i="5" s="1"/>
  <c r="P57" i="4" s="1"/>
  <c r="P64" i="4" s="1"/>
  <c r="P48" i="8" s="1"/>
  <c r="N49" i="5"/>
  <c r="P38" i="5"/>
  <c r="Q32" i="5"/>
  <c r="U37" i="3"/>
  <c r="U14" i="7" s="1"/>
  <c r="U19" i="8" s="1"/>
  <c r="AF59" i="4"/>
  <c r="E139" i="10" s="1"/>
  <c r="W21" i="5"/>
  <c r="X10" i="5"/>
  <c r="V26" i="5"/>
  <c r="X14" i="2"/>
  <c r="W54" i="6"/>
  <c r="AG54" i="6" s="1"/>
  <c r="AG10" i="5"/>
  <c r="S19" i="8"/>
  <c r="S77" i="8" s="1"/>
  <c r="AF14" i="7"/>
  <c r="R17" i="8"/>
  <c r="R75" i="8" s="1"/>
  <c r="AA105" i="8"/>
  <c r="Z107" i="8"/>
  <c r="Z108" i="8" s="1"/>
  <c r="V14" i="6"/>
  <c r="V13" i="6"/>
  <c r="V12" i="6"/>
  <c r="V61" i="4"/>
  <c r="V10" i="6"/>
  <c r="V11" i="6"/>
  <c r="W9" i="7"/>
  <c r="AG9" i="7" s="1"/>
  <c r="V33" i="3"/>
  <c r="V30" i="3"/>
  <c r="W26" i="3"/>
  <c r="W13" i="7"/>
  <c r="U36" i="4"/>
  <c r="Y42" i="5"/>
  <c r="Z13" i="2"/>
  <c r="X24" i="6"/>
  <c r="Y19" i="5"/>
  <c r="Y88" i="6"/>
  <c r="T43" i="8"/>
  <c r="T63" i="4"/>
  <c r="T45" i="4"/>
  <c r="T21" i="7"/>
  <c r="T14" i="7"/>
  <c r="W22" i="4"/>
  <c r="V21" i="4"/>
  <c r="W49" i="4"/>
  <c r="X17" i="7"/>
  <c r="Z34" i="8"/>
  <c r="AG24" i="6"/>
  <c r="AG17" i="7"/>
  <c r="Y15" i="2"/>
  <c r="T83" i="8"/>
  <c r="T33" i="6"/>
  <c r="T39" i="6"/>
  <c r="T30" i="7"/>
  <c r="E127" i="8"/>
  <c r="U32" i="6"/>
  <c r="AD85" i="6" l="1"/>
  <c r="AF40" i="4"/>
  <c r="E132" i="10" s="1"/>
  <c r="T40" i="4"/>
  <c r="T43" i="4" s="1"/>
  <c r="T33" i="4"/>
  <c r="N85" i="6"/>
  <c r="F89" i="6"/>
  <c r="F90" i="6" s="1"/>
  <c r="F94" i="6" s="1"/>
  <c r="U39" i="4"/>
  <c r="U38" i="4"/>
  <c r="U37" i="4"/>
  <c r="AF85" i="6"/>
  <c r="V85" i="6"/>
  <c r="G79" i="8"/>
  <c r="R85" i="6"/>
  <c r="H85" i="6"/>
  <c r="Z85" i="6"/>
  <c r="AE85" i="6"/>
  <c r="I85" i="6"/>
  <c r="AC85" i="6"/>
  <c r="S85" i="6"/>
  <c r="AH85" i="6"/>
  <c r="X85" i="6"/>
  <c r="D85" i="6"/>
  <c r="AG85" i="6"/>
  <c r="E85" i="6"/>
  <c r="F85" i="6"/>
  <c r="L85" i="6"/>
  <c r="Y85" i="6"/>
  <c r="L89" i="6"/>
  <c r="L90" i="6" s="1"/>
  <c r="L94" i="6" s="1"/>
  <c r="J89" i="6"/>
  <c r="J90" i="6" s="1"/>
  <c r="J27" i="8" s="1"/>
  <c r="I24" i="7"/>
  <c r="I60" i="8"/>
  <c r="J60" i="8" s="1"/>
  <c r="J59" i="8" s="1"/>
  <c r="J61" i="8" s="1"/>
  <c r="J62" i="8" s="1"/>
  <c r="J63" i="8" s="1"/>
  <c r="J64" i="8" s="1"/>
  <c r="H71" i="8"/>
  <c r="H12" i="8"/>
  <c r="H13" i="8" s="1"/>
  <c r="T85" i="6"/>
  <c r="H30" i="8"/>
  <c r="M89" i="6"/>
  <c r="M90" i="6" s="1"/>
  <c r="M27" i="8" s="1"/>
  <c r="H89" i="6"/>
  <c r="H90" i="6" s="1"/>
  <c r="H27" i="8" s="1"/>
  <c r="G29" i="8"/>
  <c r="R89" i="6"/>
  <c r="R90" i="6" s="1"/>
  <c r="R94" i="6" s="1"/>
  <c r="P89" i="6"/>
  <c r="P90" i="6" s="1"/>
  <c r="P27" i="8" s="1"/>
  <c r="J36" i="8"/>
  <c r="S89" i="6"/>
  <c r="S90" i="6" s="1"/>
  <c r="Q85" i="6"/>
  <c r="W89" i="6"/>
  <c r="AG89" i="6" s="1"/>
  <c r="AG90" i="6" s="1"/>
  <c r="W85" i="6"/>
  <c r="X89" i="6"/>
  <c r="X90" i="6" s="1"/>
  <c r="X94" i="6" s="1"/>
  <c r="U89" i="6"/>
  <c r="U90" i="6" s="1"/>
  <c r="U27" i="8" s="1"/>
  <c r="AA85" i="6"/>
  <c r="AF32" i="7"/>
  <c r="G85" i="6"/>
  <c r="E89" i="6"/>
  <c r="E90" i="6" s="1"/>
  <c r="E94" i="6" s="1"/>
  <c r="E95" i="6" s="1"/>
  <c r="P85" i="6"/>
  <c r="M85" i="6"/>
  <c r="I89" i="6"/>
  <c r="I90" i="6" s="1"/>
  <c r="I27" i="8" s="1"/>
  <c r="AE48" i="5"/>
  <c r="D111" i="10" s="1"/>
  <c r="D89" i="6"/>
  <c r="D90" i="6" s="1"/>
  <c r="D27" i="8" s="1"/>
  <c r="H27" i="7"/>
  <c r="H18" i="8" s="1"/>
  <c r="V89" i="6"/>
  <c r="V90" i="6" s="1"/>
  <c r="Q89" i="6"/>
  <c r="Q90" i="6" s="1"/>
  <c r="Q27" i="8" s="1"/>
  <c r="U85" i="6"/>
  <c r="N89" i="6"/>
  <c r="N90" i="6" s="1"/>
  <c r="N27" i="8" s="1"/>
  <c r="O85" i="6"/>
  <c r="J85" i="6"/>
  <c r="G89" i="6"/>
  <c r="G90" i="6" s="1"/>
  <c r="K85" i="6"/>
  <c r="K89" i="6"/>
  <c r="AD89" i="6" s="1"/>
  <c r="AD90" i="6" s="1"/>
  <c r="O89" i="6"/>
  <c r="O90" i="6" s="1"/>
  <c r="O27" i="8" s="1"/>
  <c r="V52" i="4"/>
  <c r="U51" i="4"/>
  <c r="L18" i="7"/>
  <c r="AE44" i="5"/>
  <c r="K78" i="8"/>
  <c r="G18" i="8"/>
  <c r="G76" i="8" s="1"/>
  <c r="G73" i="8" s="1"/>
  <c r="G100" i="8" s="1"/>
  <c r="G102" i="8" s="1"/>
  <c r="G35" i="7"/>
  <c r="G37" i="7" s="1"/>
  <c r="AC27" i="7"/>
  <c r="AC35" i="7" s="1"/>
  <c r="AC37" i="7" s="1"/>
  <c r="J23" i="7"/>
  <c r="AD22" i="7"/>
  <c r="F109" i="8"/>
  <c r="F121" i="8"/>
  <c r="F122" i="8" s="1"/>
  <c r="F123" i="8" s="1"/>
  <c r="F80" i="8"/>
  <c r="M54" i="8"/>
  <c r="M57" i="8" s="1"/>
  <c r="M51" i="8"/>
  <c r="L49" i="8"/>
  <c r="L50" i="8" s="1"/>
  <c r="N44" i="4"/>
  <c r="N46" i="4" s="1"/>
  <c r="AE49" i="5"/>
  <c r="D107" i="10" s="1"/>
  <c r="L16" i="8"/>
  <c r="N48" i="8"/>
  <c r="O46" i="4"/>
  <c r="O57" i="4"/>
  <c r="AE50" i="5"/>
  <c r="D108" i="10" s="1"/>
  <c r="Q38" i="5"/>
  <c r="R32" i="5"/>
  <c r="N50" i="4"/>
  <c r="AE51" i="5"/>
  <c r="D109" i="10" s="1"/>
  <c r="P44" i="5"/>
  <c r="P37" i="5"/>
  <c r="R24" i="5"/>
  <c r="Q35" i="5"/>
  <c r="Q39" i="5"/>
  <c r="Q45" i="5" s="1"/>
  <c r="AE43" i="5"/>
  <c r="Q40" i="5"/>
  <c r="Q46" i="5" s="1"/>
  <c r="Q51" i="5" s="1"/>
  <c r="Q50" i="4" s="1"/>
  <c r="Q54" i="4" s="1"/>
  <c r="Q49" i="8" s="1"/>
  <c r="R34" i="5"/>
  <c r="P46" i="5"/>
  <c r="U63" i="4"/>
  <c r="U45" i="4"/>
  <c r="U43" i="8"/>
  <c r="U21" i="7"/>
  <c r="T94" i="6"/>
  <c r="T95" i="6" s="1"/>
  <c r="T28" i="8" s="1"/>
  <c r="S75" i="8"/>
  <c r="U83" i="8"/>
  <c r="U33" i="6"/>
  <c r="U39" i="6"/>
  <c r="U30" i="7"/>
  <c r="X22" i="4"/>
  <c r="W21" i="4"/>
  <c r="Z88" i="6"/>
  <c r="Y89" i="6"/>
  <c r="Y90" i="6" s="1"/>
  <c r="X9" i="7"/>
  <c r="T10" i="8"/>
  <c r="T59" i="4"/>
  <c r="X13" i="7"/>
  <c r="AG13" i="7"/>
  <c r="V32" i="6"/>
  <c r="AA34" i="8"/>
  <c r="V37" i="3"/>
  <c r="Z15" i="2"/>
  <c r="Y17" i="7"/>
  <c r="T19" i="8"/>
  <c r="V60" i="4"/>
  <c r="W26" i="5"/>
  <c r="U31" i="7"/>
  <c r="T32" i="7"/>
  <c r="X49" i="4"/>
  <c r="Y24" i="6"/>
  <c r="Y14" i="2"/>
  <c r="X54" i="6"/>
  <c r="X21" i="5"/>
  <c r="Y10" i="5"/>
  <c r="AB105" i="8"/>
  <c r="AA107" i="8"/>
  <c r="AA108" i="8" s="1"/>
  <c r="T101" i="8"/>
  <c r="T84" i="8"/>
  <c r="V36" i="4"/>
  <c r="Z19" i="5"/>
  <c r="Z42" i="5"/>
  <c r="AA13" i="2"/>
  <c r="AA42" i="5" s="1"/>
  <c r="X26" i="3"/>
  <c r="W33" i="3"/>
  <c r="W30" i="3"/>
  <c r="W14" i="6"/>
  <c r="AG14" i="6" s="1"/>
  <c r="W13" i="6"/>
  <c r="W12" i="6"/>
  <c r="W10" i="6"/>
  <c r="W61" i="4"/>
  <c r="W60" i="4" s="1"/>
  <c r="W11" i="6"/>
  <c r="F125" i="8" l="1"/>
  <c r="F126" i="8" s="1"/>
  <c r="F127" i="8" s="1"/>
  <c r="U40" i="4"/>
  <c r="U43" i="4" s="1"/>
  <c r="F27" i="8"/>
  <c r="U33" i="4"/>
  <c r="V37" i="4"/>
  <c r="V38" i="4"/>
  <c r="V39" i="4"/>
  <c r="X27" i="8"/>
  <c r="L27" i="8"/>
  <c r="M94" i="6"/>
  <c r="M95" i="6" s="1"/>
  <c r="M28" i="8" s="1"/>
  <c r="J24" i="7"/>
  <c r="K24" i="7" s="1"/>
  <c r="I25" i="7"/>
  <c r="I26" i="7" s="1"/>
  <c r="I27" i="7" s="1"/>
  <c r="I18" i="8" s="1"/>
  <c r="I76" i="8" s="1"/>
  <c r="I73" i="8" s="1"/>
  <c r="I100" i="8" s="1"/>
  <c r="J94" i="6"/>
  <c r="J95" i="6" s="1"/>
  <c r="J28" i="8" s="1"/>
  <c r="J66" i="8"/>
  <c r="J98" i="8" s="1"/>
  <c r="H79" i="8"/>
  <c r="J12" i="8"/>
  <c r="I59" i="8"/>
  <c r="I61" i="8" s="1"/>
  <c r="I62" i="8" s="1"/>
  <c r="I66" i="8" s="1"/>
  <c r="I98" i="8" s="1"/>
  <c r="K60" i="8"/>
  <c r="K12" i="8" s="1"/>
  <c r="I12" i="8"/>
  <c r="I79" i="8" s="1"/>
  <c r="H29" i="8"/>
  <c r="H94" i="6"/>
  <c r="H95" i="6" s="1"/>
  <c r="H28" i="8" s="1"/>
  <c r="R27" i="8"/>
  <c r="AF89" i="6"/>
  <c r="AF90" i="6" s="1"/>
  <c r="U94" i="6"/>
  <c r="U95" i="6" s="1"/>
  <c r="U28" i="8" s="1"/>
  <c r="N94" i="6"/>
  <c r="N95" i="6" s="1"/>
  <c r="N28" i="8" s="1"/>
  <c r="W90" i="6"/>
  <c r="W94" i="6" s="1"/>
  <c r="P94" i="6"/>
  <c r="P95" i="6" s="1"/>
  <c r="P28" i="8" s="1"/>
  <c r="O94" i="6"/>
  <c r="D94" i="6"/>
  <c r="D95" i="6" s="1"/>
  <c r="D28" i="8" s="1"/>
  <c r="D31" i="8" s="1"/>
  <c r="D38" i="8" s="1"/>
  <c r="Q94" i="6"/>
  <c r="Q95" i="6" s="1"/>
  <c r="Q28" i="8" s="1"/>
  <c r="K90" i="6"/>
  <c r="K27" i="8" s="1"/>
  <c r="E27" i="8"/>
  <c r="H35" i="7"/>
  <c r="H37" i="7" s="1"/>
  <c r="I94" i="6"/>
  <c r="I95" i="6" s="1"/>
  <c r="AH42" i="5"/>
  <c r="AE44" i="4"/>
  <c r="V94" i="6"/>
  <c r="V95" i="6" s="1"/>
  <c r="V28" i="8" s="1"/>
  <c r="V27" i="8"/>
  <c r="AC89" i="6"/>
  <c r="AC90" i="6" s="1"/>
  <c r="AE89" i="6"/>
  <c r="AE90" i="6" s="1"/>
  <c r="W52" i="4"/>
  <c r="V51" i="4"/>
  <c r="W32" i="6"/>
  <c r="W30" i="7" s="1"/>
  <c r="G80" i="8"/>
  <c r="L54" i="8"/>
  <c r="L57" i="8" s="1"/>
  <c r="L51" i="8"/>
  <c r="G121" i="8"/>
  <c r="G122" i="8" s="1"/>
  <c r="G123" i="8" s="1"/>
  <c r="G109" i="8"/>
  <c r="H76" i="8"/>
  <c r="H73" i="8" s="1"/>
  <c r="L35" i="8"/>
  <c r="O64" i="4"/>
  <c r="AE64" i="4" s="1"/>
  <c r="AE57" i="4"/>
  <c r="L74" i="8"/>
  <c r="M74" i="8"/>
  <c r="Q50" i="5"/>
  <c r="S32" i="5"/>
  <c r="AF32" i="5" s="1"/>
  <c r="R38" i="5"/>
  <c r="O44" i="8"/>
  <c r="O45" i="8" s="1"/>
  <c r="O46" i="8" s="1"/>
  <c r="O10" i="7"/>
  <c r="O16" i="8" s="1"/>
  <c r="J30" i="8"/>
  <c r="J71" i="8"/>
  <c r="R40" i="5"/>
  <c r="R46" i="5" s="1"/>
  <c r="R51" i="5" s="1"/>
  <c r="R50" i="4" s="1"/>
  <c r="R54" i="4" s="1"/>
  <c r="R49" i="8" s="1"/>
  <c r="S34" i="5"/>
  <c r="AF34" i="5" s="1"/>
  <c r="S24" i="5"/>
  <c r="AF24" i="5" s="1"/>
  <c r="R39" i="5"/>
  <c r="R45" i="5" s="1"/>
  <c r="R50" i="5" s="1"/>
  <c r="R57" i="4" s="1"/>
  <c r="R64" i="4" s="1"/>
  <c r="R35" i="5"/>
  <c r="P43" i="5"/>
  <c r="N54" i="4"/>
  <c r="N66" i="4" s="1"/>
  <c r="N18" i="7" s="1"/>
  <c r="N35" i="8" s="1"/>
  <c r="AE50" i="4"/>
  <c r="Q44" i="5"/>
  <c r="Q49" i="5" s="1"/>
  <c r="Q44" i="4" s="1"/>
  <c r="Q46" i="4" s="1"/>
  <c r="Q37" i="5"/>
  <c r="Q43" i="5" s="1"/>
  <c r="Q48" i="5" s="1"/>
  <c r="N44" i="8"/>
  <c r="N45" i="8" s="1"/>
  <c r="N46" i="8" s="1"/>
  <c r="N10" i="7"/>
  <c r="P51" i="5"/>
  <c r="P49" i="5"/>
  <c r="W37" i="3"/>
  <c r="W14" i="7" s="1"/>
  <c r="W19" i="8" s="1"/>
  <c r="Y27" i="8"/>
  <c r="Y94" i="6"/>
  <c r="X33" i="3"/>
  <c r="X30" i="3"/>
  <c r="Y26" i="3"/>
  <c r="AB108" i="8"/>
  <c r="S27" i="8"/>
  <c r="S94" i="6"/>
  <c r="Y22" i="4"/>
  <c r="X21" i="4"/>
  <c r="R95" i="6"/>
  <c r="R28" i="8" s="1"/>
  <c r="U10" i="8"/>
  <c r="U59" i="4"/>
  <c r="L95" i="6"/>
  <c r="L28" i="8" s="1"/>
  <c r="Z17" i="7"/>
  <c r="Y21" i="5"/>
  <c r="Z10" i="5"/>
  <c r="Z24" i="6"/>
  <c r="Y49" i="4"/>
  <c r="T17" i="8"/>
  <c r="T75" i="8" s="1"/>
  <c r="V83" i="8"/>
  <c r="V33" i="6"/>
  <c r="V39" i="6"/>
  <c r="V30" i="7"/>
  <c r="F70" i="10"/>
  <c r="G27" i="8"/>
  <c r="G94" i="6"/>
  <c r="U101" i="8"/>
  <c r="U84" i="8"/>
  <c r="Z14" i="2"/>
  <c r="Y54" i="6"/>
  <c r="X14" i="6"/>
  <c r="X13" i="6"/>
  <c r="X12" i="6"/>
  <c r="X10" i="6"/>
  <c r="X61" i="4"/>
  <c r="X11" i="6"/>
  <c r="X26" i="5"/>
  <c r="AA15" i="2"/>
  <c r="Y9" i="7"/>
  <c r="AA88" i="6"/>
  <c r="Z89" i="6"/>
  <c r="Z90" i="6" s="1"/>
  <c r="T77" i="8"/>
  <c r="U77" i="8"/>
  <c r="AG61" i="4"/>
  <c r="X95" i="6"/>
  <c r="X28" i="8" s="1"/>
  <c r="F69" i="10"/>
  <c r="AA19" i="5"/>
  <c r="AD42" i="5"/>
  <c r="AE42" i="5"/>
  <c r="AF42" i="5"/>
  <c r="F89" i="8"/>
  <c r="F95" i="6"/>
  <c r="E28" i="8"/>
  <c r="AG60" i="4"/>
  <c r="F137" i="10" s="1"/>
  <c r="V43" i="8"/>
  <c r="V63" i="4"/>
  <c r="V45" i="4"/>
  <c r="V21" i="7"/>
  <c r="V14" i="7"/>
  <c r="Y13" i="7"/>
  <c r="W36" i="4"/>
  <c r="AG36" i="4" s="1"/>
  <c r="AG21" i="4" s="1"/>
  <c r="V31" i="7"/>
  <c r="U32" i="7"/>
  <c r="V40" i="4" l="1"/>
  <c r="V43" i="4" s="1"/>
  <c r="W39" i="4"/>
  <c r="AG39" i="4" s="1"/>
  <c r="V33" i="4"/>
  <c r="W38" i="4"/>
  <c r="W37" i="4"/>
  <c r="M89" i="8"/>
  <c r="M90" i="8" s="1"/>
  <c r="J25" i="7"/>
  <c r="J26" i="7" s="1"/>
  <c r="J27" i="7" s="1"/>
  <c r="J18" i="8" s="1"/>
  <c r="J76" i="8" s="1"/>
  <c r="J73" i="8" s="1"/>
  <c r="J100" i="8" s="1"/>
  <c r="J102" i="8" s="1"/>
  <c r="H31" i="8"/>
  <c r="H38" i="8" s="1"/>
  <c r="W83" i="8"/>
  <c r="W101" i="8" s="1"/>
  <c r="AB101" i="8" s="1"/>
  <c r="AG32" i="6"/>
  <c r="W39" i="6"/>
  <c r="W10" i="8" s="1"/>
  <c r="W33" i="6"/>
  <c r="I13" i="8"/>
  <c r="K59" i="8"/>
  <c r="K61" i="8" s="1"/>
  <c r="K62" i="8" s="1"/>
  <c r="K63" i="8" s="1"/>
  <c r="K64" i="8" s="1"/>
  <c r="L60" i="8"/>
  <c r="M60" i="8" s="1"/>
  <c r="J79" i="8"/>
  <c r="J13" i="8"/>
  <c r="W27" i="8"/>
  <c r="I88" i="8"/>
  <c r="I102" i="8"/>
  <c r="I121" i="8" s="1"/>
  <c r="I63" i="8"/>
  <c r="I64" i="8" s="1"/>
  <c r="I35" i="7"/>
  <c r="I37" i="7" s="1"/>
  <c r="I89" i="8"/>
  <c r="E89" i="8"/>
  <c r="N89" i="8"/>
  <c r="N90" i="8" s="1"/>
  <c r="I28" i="8"/>
  <c r="U89" i="8"/>
  <c r="U90" i="8" s="1"/>
  <c r="P89" i="8"/>
  <c r="P90" i="8" s="1"/>
  <c r="AE94" i="6"/>
  <c r="AE95" i="6" s="1"/>
  <c r="D89" i="8"/>
  <c r="E43" i="9" s="1"/>
  <c r="F43" i="9" s="1"/>
  <c r="G43" i="9" s="1"/>
  <c r="H43" i="9" s="1"/>
  <c r="I43" i="9" s="1"/>
  <c r="J43" i="9" s="1"/>
  <c r="K43" i="9" s="1"/>
  <c r="L43" i="9" s="1"/>
  <c r="M43" i="9" s="1"/>
  <c r="N43" i="9" s="1"/>
  <c r="O43" i="9" s="1"/>
  <c r="P43" i="9" s="1"/>
  <c r="D88" i="8"/>
  <c r="E88" i="8"/>
  <c r="L61" i="8"/>
  <c r="L62" i="8" s="1"/>
  <c r="L66" i="8" s="1"/>
  <c r="L98" i="8" s="1"/>
  <c r="O95" i="6"/>
  <c r="O28" i="8" s="1"/>
  <c r="O89" i="8"/>
  <c r="O90" i="8" s="1"/>
  <c r="R89" i="8"/>
  <c r="R90" i="8" s="1"/>
  <c r="Q89" i="8"/>
  <c r="Q90" i="8" s="1"/>
  <c r="J89" i="8"/>
  <c r="J90" i="8" s="1"/>
  <c r="K94" i="6"/>
  <c r="L89" i="8" s="1"/>
  <c r="L90" i="8" s="1"/>
  <c r="E31" i="8"/>
  <c r="E38" i="8" s="1"/>
  <c r="V89" i="8"/>
  <c r="V90" i="8" s="1"/>
  <c r="AG52" i="4"/>
  <c r="X52" i="4"/>
  <c r="W51" i="4"/>
  <c r="N16" i="8"/>
  <c r="N74" i="8" s="1"/>
  <c r="AE10" i="7"/>
  <c r="L36" i="8"/>
  <c r="M78" i="8"/>
  <c r="L78" i="8"/>
  <c r="H100" i="8"/>
  <c r="H102" i="8" s="1"/>
  <c r="H80" i="8"/>
  <c r="N68" i="4"/>
  <c r="AC109" i="8"/>
  <c r="G125" i="8"/>
  <c r="G126" i="8" s="1"/>
  <c r="G127" i="8" s="1"/>
  <c r="Q44" i="8"/>
  <c r="Q45" i="8" s="1"/>
  <c r="Q46" i="8" s="1"/>
  <c r="Q10" i="7"/>
  <c r="Q16" i="8" s="1"/>
  <c r="P48" i="5"/>
  <c r="R48" i="8"/>
  <c r="P50" i="4"/>
  <c r="K25" i="7"/>
  <c r="K26" i="7" s="1"/>
  <c r="L24" i="7"/>
  <c r="Q57" i="4"/>
  <c r="S40" i="5"/>
  <c r="T34" i="5"/>
  <c r="N36" i="8"/>
  <c r="N78" i="8"/>
  <c r="P44" i="4"/>
  <c r="P46" i="4" s="1"/>
  <c r="N49" i="8"/>
  <c r="N50" i="8" s="1"/>
  <c r="AE54" i="4"/>
  <c r="R44" i="5"/>
  <c r="R49" i="5" s="1"/>
  <c r="R44" i="4" s="1"/>
  <c r="R37" i="5"/>
  <c r="R43" i="5" s="1"/>
  <c r="R48" i="5" s="1"/>
  <c r="D133" i="10"/>
  <c r="T24" i="5"/>
  <c r="S35" i="5"/>
  <c r="S39" i="5"/>
  <c r="K13" i="8"/>
  <c r="K79" i="8"/>
  <c r="S38" i="5"/>
  <c r="T32" i="5"/>
  <c r="O48" i="8"/>
  <c r="O50" i="8" s="1"/>
  <c r="O66" i="4"/>
  <c r="AE66" i="4" s="1"/>
  <c r="W21" i="7"/>
  <c r="AG21" i="7" s="1"/>
  <c r="W45" i="4"/>
  <c r="AG45" i="4" s="1"/>
  <c r="W43" i="8"/>
  <c r="W63" i="4"/>
  <c r="AG63" i="4" s="1"/>
  <c r="W89" i="8"/>
  <c r="W90" i="8" s="1"/>
  <c r="W95" i="6"/>
  <c r="W28" i="8" s="1"/>
  <c r="AG94" i="6"/>
  <c r="AG95" i="6" s="1"/>
  <c r="X31" i="7"/>
  <c r="U17" i="8"/>
  <c r="U75" i="8" s="1"/>
  <c r="Z13" i="7"/>
  <c r="V19" i="8"/>
  <c r="AG14" i="7"/>
  <c r="X89" i="8"/>
  <c r="X90" i="8" s="1"/>
  <c r="X32" i="6"/>
  <c r="G89" i="8"/>
  <c r="G95" i="6"/>
  <c r="AC94" i="6"/>
  <c r="AC95" i="6" s="1"/>
  <c r="H89" i="8"/>
  <c r="V84" i="8"/>
  <c r="V101" i="8"/>
  <c r="Z9" i="7"/>
  <c r="Z49" i="4"/>
  <c r="S89" i="8"/>
  <c r="S90" i="8" s="1"/>
  <c r="S95" i="6"/>
  <c r="S28" i="8" s="1"/>
  <c r="AF94" i="6"/>
  <c r="AF95" i="6" s="1"/>
  <c r="T89" i="8"/>
  <c r="T90" i="8" s="1"/>
  <c r="Y33" i="3"/>
  <c r="Y30" i="3"/>
  <c r="Z26" i="3"/>
  <c r="Y89" i="8"/>
  <c r="Y90" i="8" s="1"/>
  <c r="Y95" i="6"/>
  <c r="Y28" i="8" s="1"/>
  <c r="W31" i="7"/>
  <c r="W32" i="7" s="1"/>
  <c r="V32" i="7"/>
  <c r="AG30" i="7"/>
  <c r="AA10" i="5"/>
  <c r="Z21" i="5"/>
  <c r="AA17" i="7"/>
  <c r="AH17" i="7" s="1"/>
  <c r="AH19" i="5"/>
  <c r="AH21" i="5" s="1"/>
  <c r="Z94" i="6"/>
  <c r="Z27" i="8"/>
  <c r="V10" i="8"/>
  <c r="V59" i="4"/>
  <c r="Y10" i="6"/>
  <c r="Y12" i="6"/>
  <c r="Y61" i="4"/>
  <c r="Y60" i="4" s="1"/>
  <c r="Y13" i="6"/>
  <c r="Y14" i="6"/>
  <c r="Y11" i="6"/>
  <c r="W84" i="8"/>
  <c r="X36" i="4"/>
  <c r="X37" i="3"/>
  <c r="F88" i="8"/>
  <c r="F90" i="8" s="1"/>
  <c r="F91" i="8" s="1"/>
  <c r="F28" i="8"/>
  <c r="F31" i="8" s="1"/>
  <c r="F38" i="8" s="1"/>
  <c r="AA89" i="6"/>
  <c r="AH89" i="6" s="1"/>
  <c r="AH88" i="6"/>
  <c r="Y26" i="5"/>
  <c r="X60" i="4"/>
  <c r="AA14" i="2"/>
  <c r="Z54" i="6"/>
  <c r="AA24" i="6"/>
  <c r="AH24" i="6" s="1"/>
  <c r="Y21" i="4"/>
  <c r="Z22" i="4"/>
  <c r="AG39" i="6" l="1"/>
  <c r="W40" i="4"/>
  <c r="AG40" i="4" s="1"/>
  <c r="F132" i="10" s="1"/>
  <c r="I71" i="8"/>
  <c r="I80" i="8" s="1"/>
  <c r="W33" i="4"/>
  <c r="X38" i="4"/>
  <c r="X39" i="4"/>
  <c r="X37" i="4"/>
  <c r="W59" i="4"/>
  <c r="AG59" i="4" s="1"/>
  <c r="F139" i="10" s="1"/>
  <c r="L59" i="8"/>
  <c r="L63" i="8" s="1"/>
  <c r="L64" i="8" s="1"/>
  <c r="I90" i="8"/>
  <c r="D90" i="8"/>
  <c r="D91" i="8" s="1"/>
  <c r="D94" i="8" s="1"/>
  <c r="E93" i="8" s="1"/>
  <c r="E90" i="8"/>
  <c r="E91" i="8" s="1"/>
  <c r="L12" i="8"/>
  <c r="L79" i="8" s="1"/>
  <c r="K66" i="8"/>
  <c r="K98" i="8" s="1"/>
  <c r="I109" i="8"/>
  <c r="I125" i="8" s="1"/>
  <c r="K89" i="8"/>
  <c r="K90" i="8" s="1"/>
  <c r="K27" i="7"/>
  <c r="K35" i="7" s="1"/>
  <c r="I30" i="8"/>
  <c r="I29" i="8" s="1"/>
  <c r="J29" i="8" s="1"/>
  <c r="J31" i="8" s="1"/>
  <c r="J38" i="8" s="1"/>
  <c r="K95" i="6"/>
  <c r="K28" i="8" s="1"/>
  <c r="Q43" i="9"/>
  <c r="AD94" i="6"/>
  <c r="AD95" i="6" s="1"/>
  <c r="J35" i="7"/>
  <c r="J37" i="7" s="1"/>
  <c r="Y52" i="4"/>
  <c r="X51" i="4"/>
  <c r="O74" i="8"/>
  <c r="O54" i="8"/>
  <c r="O57" i="8" s="1"/>
  <c r="O51" i="8"/>
  <c r="H121" i="8"/>
  <c r="H109" i="8"/>
  <c r="J80" i="8"/>
  <c r="J91" i="8" s="1"/>
  <c r="N54" i="8"/>
  <c r="N57" i="8" s="1"/>
  <c r="N60" i="8" s="1"/>
  <c r="N51" i="8"/>
  <c r="N22" i="7"/>
  <c r="AD26" i="7"/>
  <c r="U24" i="5"/>
  <c r="T39" i="5"/>
  <c r="T35" i="5"/>
  <c r="R46" i="4"/>
  <c r="R66" i="4" s="1"/>
  <c r="R18" i="7" s="1"/>
  <c r="R35" i="8" s="1"/>
  <c r="L25" i="7"/>
  <c r="L26" i="7" s="1"/>
  <c r="M24" i="7"/>
  <c r="O18" i="7"/>
  <c r="O68" i="4"/>
  <c r="O22" i="7" s="1"/>
  <c r="O23" i="7" s="1"/>
  <c r="J121" i="8"/>
  <c r="J109" i="8"/>
  <c r="J125" i="8" s="1"/>
  <c r="U34" i="5"/>
  <c r="T40" i="5"/>
  <c r="Q64" i="4"/>
  <c r="P54" i="4"/>
  <c r="P66" i="4" s="1"/>
  <c r="P18" i="7" s="1"/>
  <c r="P35" i="8" s="1"/>
  <c r="P36" i="8" s="1"/>
  <c r="K71" i="8"/>
  <c r="K30" i="8"/>
  <c r="U32" i="5"/>
  <c r="T38" i="5"/>
  <c r="AF39" i="5"/>
  <c r="S45" i="5"/>
  <c r="S46" i="5"/>
  <c r="AF40" i="5"/>
  <c r="M59" i="8"/>
  <c r="M61" i="8" s="1"/>
  <c r="M62" i="8" s="1"/>
  <c r="M12" i="8"/>
  <c r="AF38" i="5"/>
  <c r="S44" i="5"/>
  <c r="S37" i="5"/>
  <c r="P44" i="8"/>
  <c r="P45" i="8" s="1"/>
  <c r="P46" i="8" s="1"/>
  <c r="P10" i="7"/>
  <c r="F135" i="10"/>
  <c r="W17" i="8"/>
  <c r="AG32" i="7"/>
  <c r="Y36" i="4"/>
  <c r="X43" i="8"/>
  <c r="X63" i="4"/>
  <c r="X45" i="4"/>
  <c r="X21" i="7"/>
  <c r="X14" i="7"/>
  <c r="Z89" i="8"/>
  <c r="Z90" i="8" s="1"/>
  <c r="Z95" i="6"/>
  <c r="Z28" i="8" s="1"/>
  <c r="Z61" i="4"/>
  <c r="Z12" i="6"/>
  <c r="Z13" i="6"/>
  <c r="Z14" i="6"/>
  <c r="Z10" i="6"/>
  <c r="Z11" i="6"/>
  <c r="V17" i="8"/>
  <c r="V75" i="8" s="1"/>
  <c r="AH90" i="6"/>
  <c r="Y32" i="6"/>
  <c r="AA26" i="3"/>
  <c r="Z33" i="3"/>
  <c r="Z30" i="3"/>
  <c r="AD34" i="5"/>
  <c r="G88" i="8"/>
  <c r="G90" i="8" s="1"/>
  <c r="G91" i="8" s="1"/>
  <c r="G28" i="8"/>
  <c r="G31" i="8" s="1"/>
  <c r="G38" i="8" s="1"/>
  <c r="H88" i="8"/>
  <c r="H90" i="8" s="1"/>
  <c r="H91" i="8" s="1"/>
  <c r="V77" i="8"/>
  <c r="W77" i="8"/>
  <c r="AA21" i="5"/>
  <c r="AE10" i="5"/>
  <c r="AA90" i="6"/>
  <c r="Y37" i="3"/>
  <c r="AA9" i="7"/>
  <c r="X83" i="8"/>
  <c r="X33" i="6"/>
  <c r="X39" i="6"/>
  <c r="X30" i="7"/>
  <c r="AA13" i="7"/>
  <c r="AH13" i="7" s="1"/>
  <c r="AA49" i="4"/>
  <c r="AH49" i="4" s="1"/>
  <c r="G138" i="10" s="1"/>
  <c r="AA54" i="6"/>
  <c r="AA22" i="4"/>
  <c r="AA21" i="4" s="1"/>
  <c r="Z21" i="4"/>
  <c r="Z26" i="5"/>
  <c r="AH10" i="5"/>
  <c r="H125" i="8" l="1"/>
  <c r="J126" i="8" s="1"/>
  <c r="J127" i="8" s="1"/>
  <c r="W43" i="4"/>
  <c r="I91" i="8"/>
  <c r="X40" i="4"/>
  <c r="X43" i="4" s="1"/>
  <c r="Y37" i="4"/>
  <c r="Y39" i="4"/>
  <c r="X33" i="4"/>
  <c r="Y38" i="4"/>
  <c r="AD27" i="7"/>
  <c r="AD35" i="7" s="1"/>
  <c r="AD37" i="7" s="1"/>
  <c r="K18" i="8"/>
  <c r="K76" i="8" s="1"/>
  <c r="K73" i="8" s="1"/>
  <c r="K100" i="8" s="1"/>
  <c r="K102" i="8" s="1"/>
  <c r="K109" i="8" s="1"/>
  <c r="L27" i="7"/>
  <c r="L35" i="7" s="1"/>
  <c r="L37" i="7" s="1"/>
  <c r="D20" i="8"/>
  <c r="G38" i="9" s="1"/>
  <c r="G35" i="9" s="1"/>
  <c r="E94" i="8"/>
  <c r="E20" i="8" s="1"/>
  <c r="E21" i="8" s="1"/>
  <c r="E23" i="8" s="1"/>
  <c r="E39" i="8" s="1"/>
  <c r="I31" i="8"/>
  <c r="I38" i="8" s="1"/>
  <c r="L13" i="8"/>
  <c r="L71" i="8"/>
  <c r="K29" i="8"/>
  <c r="K31" i="8" s="1"/>
  <c r="K38" i="8" s="1"/>
  <c r="L30" i="8"/>
  <c r="K37" i="7"/>
  <c r="R68" i="4"/>
  <c r="R22" i="7" s="1"/>
  <c r="R23" i="7" s="1"/>
  <c r="O60" i="8"/>
  <c r="O12" i="8" s="1"/>
  <c r="Y51" i="4"/>
  <c r="Z52" i="4"/>
  <c r="P68" i="4"/>
  <c r="P22" i="7" s="1"/>
  <c r="P23" i="7" s="1"/>
  <c r="AE68" i="4"/>
  <c r="I122" i="8"/>
  <c r="I123" i="8" s="1"/>
  <c r="J122" i="8"/>
  <c r="J123" i="8" s="1"/>
  <c r="H122" i="8"/>
  <c r="H123" i="8" s="1"/>
  <c r="O35" i="8"/>
  <c r="O36" i="8" s="1"/>
  <c r="AE18" i="7"/>
  <c r="N23" i="7"/>
  <c r="N24" i="7" s="1"/>
  <c r="AE22" i="7"/>
  <c r="S43" i="5"/>
  <c r="AF37" i="5"/>
  <c r="V32" i="5"/>
  <c r="U38" i="5"/>
  <c r="S49" i="5"/>
  <c r="AF44" i="5"/>
  <c r="S51" i="5"/>
  <c r="AF46" i="5"/>
  <c r="Q48" i="8"/>
  <c r="Q50" i="8" s="1"/>
  <c r="Q66" i="4"/>
  <c r="R10" i="7"/>
  <c r="R16" i="8" s="1"/>
  <c r="R74" i="8" s="1"/>
  <c r="R44" i="8"/>
  <c r="R45" i="8" s="1"/>
  <c r="R36" i="8"/>
  <c r="T46" i="5"/>
  <c r="N59" i="8"/>
  <c r="N61" i="8" s="1"/>
  <c r="N62" i="8" s="1"/>
  <c r="N12" i="8"/>
  <c r="S50" i="5"/>
  <c r="AF45" i="5"/>
  <c r="V34" i="5"/>
  <c r="U40" i="5"/>
  <c r="U46" i="5" s="1"/>
  <c r="U51" i="5" s="1"/>
  <c r="U50" i="4" s="1"/>
  <c r="U54" i="4" s="1"/>
  <c r="U49" i="8" s="1"/>
  <c r="P16" i="8"/>
  <c r="M79" i="8"/>
  <c r="M13" i="8"/>
  <c r="T45" i="5"/>
  <c r="Z32" i="6"/>
  <c r="Z30" i="7" s="1"/>
  <c r="M66" i="8"/>
  <c r="M98" i="8" s="1"/>
  <c r="M63" i="8"/>
  <c r="M64" i="8" s="1"/>
  <c r="T44" i="5"/>
  <c r="T37" i="5"/>
  <c r="P49" i="8"/>
  <c r="P50" i="8" s="1"/>
  <c r="M25" i="7"/>
  <c r="M26" i="7" s="1"/>
  <c r="V24" i="5"/>
  <c r="U39" i="5"/>
  <c r="U45" i="5" s="1"/>
  <c r="U50" i="5" s="1"/>
  <c r="U57" i="4" s="1"/>
  <c r="U64" i="4" s="1"/>
  <c r="U35" i="5"/>
  <c r="G70" i="10"/>
  <c r="AA26" i="5"/>
  <c r="Z37" i="3"/>
  <c r="Z60" i="4"/>
  <c r="AA36" i="4"/>
  <c r="AA94" i="6"/>
  <c r="AA27" i="8"/>
  <c r="AE13" i="7"/>
  <c r="X101" i="8"/>
  <c r="X84" i="8"/>
  <c r="AA61" i="4"/>
  <c r="AA60" i="4" s="1"/>
  <c r="AA14" i="6"/>
  <c r="AA13" i="6"/>
  <c r="AA12" i="6"/>
  <c r="AA10" i="6"/>
  <c r="AA11" i="6"/>
  <c r="AA30" i="3"/>
  <c r="AA33" i="3"/>
  <c r="AH33" i="3" s="1"/>
  <c r="X19" i="8"/>
  <c r="X77" i="8" s="1"/>
  <c r="AD54" i="6"/>
  <c r="AE54" i="6"/>
  <c r="AF54" i="6"/>
  <c r="AH54" i="6"/>
  <c r="AE49" i="4"/>
  <c r="D138" i="10" s="1"/>
  <c r="AG49" i="4"/>
  <c r="F138" i="10" s="1"/>
  <c r="AD40" i="5"/>
  <c r="Y31" i="7"/>
  <c r="X32" i="7"/>
  <c r="Y43" i="8"/>
  <c r="Y63" i="4"/>
  <c r="Y45" i="4"/>
  <c r="Y21" i="7"/>
  <c r="Y14" i="7"/>
  <c r="Y19" i="8" s="1"/>
  <c r="Y83" i="8"/>
  <c r="Y33" i="6"/>
  <c r="Y39" i="6"/>
  <c r="Y30" i="7"/>
  <c r="Z36" i="4"/>
  <c r="X10" i="8"/>
  <c r="X59" i="4"/>
  <c r="AH9" i="7"/>
  <c r="W75" i="8"/>
  <c r="H126" i="8" l="1"/>
  <c r="H127" i="8" s="1"/>
  <c r="I126" i="8"/>
  <c r="I127" i="8" s="1"/>
  <c r="L18" i="8"/>
  <c r="L76" i="8" s="1"/>
  <c r="L73" i="8" s="1"/>
  <c r="L100" i="8" s="1"/>
  <c r="L102" i="8" s="1"/>
  <c r="L109" i="8" s="1"/>
  <c r="L125" i="8" s="1"/>
  <c r="Y40" i="4"/>
  <c r="Y43" i="4" s="1"/>
  <c r="K121" i="8"/>
  <c r="K122" i="8" s="1"/>
  <c r="K123" i="8" s="1"/>
  <c r="M27" i="7"/>
  <c r="M35" i="7" s="1"/>
  <c r="M37" i="7" s="1"/>
  <c r="K80" i="8"/>
  <c r="K91" i="8" s="1"/>
  <c r="Y33" i="4"/>
  <c r="Z38" i="4"/>
  <c r="AA38" i="4"/>
  <c r="Z39" i="4"/>
  <c r="AA39" i="4"/>
  <c r="AH39" i="4" s="1"/>
  <c r="AA37" i="4"/>
  <c r="Z37" i="4"/>
  <c r="H38" i="9"/>
  <c r="H35" i="9" s="1"/>
  <c r="D21" i="8"/>
  <c r="D23" i="8" s="1"/>
  <c r="D39" i="8" s="1"/>
  <c r="P38" i="9"/>
  <c r="P35" i="9" s="1"/>
  <c r="O38" i="9"/>
  <c r="O35" i="9" s="1"/>
  <c r="M38" i="9"/>
  <c r="M35" i="9" s="1"/>
  <c r="L38" i="9"/>
  <c r="L35" i="9" s="1"/>
  <c r="F93" i="8"/>
  <c r="F94" i="8" s="1"/>
  <c r="G93" i="8" s="1"/>
  <c r="G94" i="8" s="1"/>
  <c r="G20" i="8" s="1"/>
  <c r="G21" i="8" s="1"/>
  <c r="G23" i="8" s="1"/>
  <c r="G39" i="8" s="1"/>
  <c r="K38" i="9"/>
  <c r="K35" i="9" s="1"/>
  <c r="I38" i="9"/>
  <c r="I35" i="9" s="1"/>
  <c r="N38" i="9"/>
  <c r="N35" i="9" s="1"/>
  <c r="J38" i="9"/>
  <c r="J35" i="9" s="1"/>
  <c r="E38" i="9"/>
  <c r="E35" i="9" s="1"/>
  <c r="F38" i="9"/>
  <c r="F35" i="9" s="1"/>
  <c r="L29" i="8"/>
  <c r="L31" i="8" s="1"/>
  <c r="L38" i="8" s="1"/>
  <c r="O59" i="8"/>
  <c r="O61" i="8" s="1"/>
  <c r="O62" i="8" s="1"/>
  <c r="O66" i="8" s="1"/>
  <c r="O98" i="8" s="1"/>
  <c r="Z83" i="8"/>
  <c r="Z101" i="8" s="1"/>
  <c r="Z33" i="6"/>
  <c r="Z39" i="6"/>
  <c r="Z59" i="4" s="1"/>
  <c r="P78" i="8"/>
  <c r="Y77" i="8"/>
  <c r="AA52" i="4"/>
  <c r="Z51" i="4"/>
  <c r="Q54" i="8"/>
  <c r="Q57" i="8" s="1"/>
  <c r="Q51" i="8"/>
  <c r="P54" i="8"/>
  <c r="P57" i="8" s="1"/>
  <c r="P60" i="8" s="1"/>
  <c r="P51" i="8"/>
  <c r="O78" i="8"/>
  <c r="K125" i="8"/>
  <c r="K126" i="8" s="1"/>
  <c r="K127" i="8" s="1"/>
  <c r="AD109" i="8"/>
  <c r="R50" i="8"/>
  <c r="R46" i="8"/>
  <c r="U48" i="8"/>
  <c r="T43" i="5"/>
  <c r="V40" i="5"/>
  <c r="W34" i="5"/>
  <c r="U44" i="5"/>
  <c r="U49" i="5" s="1"/>
  <c r="U44" i="4" s="1"/>
  <c r="U46" i="4" s="1"/>
  <c r="U66" i="4" s="1"/>
  <c r="U37" i="5"/>
  <c r="U43" i="5" s="1"/>
  <c r="U48" i="5" s="1"/>
  <c r="T49" i="5"/>
  <c r="N79" i="8"/>
  <c r="N13" i="8"/>
  <c r="N25" i="7"/>
  <c r="N26" i="7" s="1"/>
  <c r="O24" i="7"/>
  <c r="M30" i="8"/>
  <c r="M71" i="8"/>
  <c r="N66" i="8"/>
  <c r="N98" i="8" s="1"/>
  <c r="N63" i="8"/>
  <c r="N64" i="8" s="1"/>
  <c r="S50" i="4"/>
  <c r="AF51" i="5"/>
  <c r="E109" i="10" s="1"/>
  <c r="S44" i="4"/>
  <c r="AF49" i="5"/>
  <c r="E107" i="10" s="1"/>
  <c r="S48" i="5"/>
  <c r="AF48" i="5" s="1"/>
  <c r="E111" i="10" s="1"/>
  <c r="AF43" i="5"/>
  <c r="W24" i="5"/>
  <c r="V35" i="5"/>
  <c r="V39" i="5"/>
  <c r="V45" i="5" s="1"/>
  <c r="V50" i="5" s="1"/>
  <c r="V57" i="4" s="1"/>
  <c r="V64" i="4" s="1"/>
  <c r="Q68" i="4"/>
  <c r="Q18" i="7"/>
  <c r="T50" i="5"/>
  <c r="W32" i="5"/>
  <c r="V38" i="5"/>
  <c r="P74" i="8"/>
  <c r="Q74" i="8"/>
  <c r="S57" i="4"/>
  <c r="AF50" i="5"/>
  <c r="E108" i="10" s="1"/>
  <c r="T51" i="5"/>
  <c r="O79" i="8"/>
  <c r="O13" i="8"/>
  <c r="AH60" i="4"/>
  <c r="G137" i="10" s="1"/>
  <c r="G68" i="10"/>
  <c r="AH37" i="3"/>
  <c r="G72" i="10" s="1"/>
  <c r="G163" i="10" s="1"/>
  <c r="AH26" i="3"/>
  <c r="C69" i="10"/>
  <c r="AD37" i="3"/>
  <c r="C72" i="10" s="1"/>
  <c r="C163" i="10" s="1"/>
  <c r="AH36" i="4"/>
  <c r="AH21" i="4" s="1"/>
  <c r="D71" i="10"/>
  <c r="D69" i="10"/>
  <c r="AC12" i="6"/>
  <c r="AD12" i="6"/>
  <c r="AE12" i="6"/>
  <c r="AF12" i="6"/>
  <c r="AG12" i="6"/>
  <c r="AH12" i="6"/>
  <c r="AH61" i="4"/>
  <c r="X17" i="8"/>
  <c r="X75" i="8" s="1"/>
  <c r="AA31" i="7"/>
  <c r="E70" i="10"/>
  <c r="AF37" i="3"/>
  <c r="E72" i="10" s="1"/>
  <c r="E163" i="10" s="1"/>
  <c r="AC14" i="6"/>
  <c r="AD14" i="6"/>
  <c r="AE14" i="6"/>
  <c r="AF14" i="6"/>
  <c r="AH14" i="6"/>
  <c r="C71" i="10"/>
  <c r="AD38" i="4"/>
  <c r="AE38" i="4"/>
  <c r="AF38" i="4"/>
  <c r="AG38" i="4"/>
  <c r="G71" i="10"/>
  <c r="AC39" i="4"/>
  <c r="AD39" i="4"/>
  <c r="AE39" i="4"/>
  <c r="AF39" i="4"/>
  <c r="D70" i="10"/>
  <c r="AD36" i="4"/>
  <c r="AD21" i="4" s="1"/>
  <c r="Z43" i="8"/>
  <c r="Z45" i="4"/>
  <c r="Z63" i="4"/>
  <c r="Z21" i="7"/>
  <c r="Z14" i="7"/>
  <c r="Z19" i="8" s="1"/>
  <c r="Z77" i="8" s="1"/>
  <c r="Y101" i="8"/>
  <c r="Y84" i="8"/>
  <c r="F71" i="10"/>
  <c r="Z31" i="7"/>
  <c r="Z32" i="7" s="1"/>
  <c r="Y32" i="7"/>
  <c r="C70" i="10"/>
  <c r="AA37" i="3"/>
  <c r="AE33" i="3"/>
  <c r="AG33" i="3"/>
  <c r="AD11" i="6"/>
  <c r="AE11" i="6"/>
  <c r="AF11" i="6"/>
  <c r="AG11" i="6"/>
  <c r="AH11" i="6"/>
  <c r="AA89" i="8"/>
  <c r="AA90" i="8" s="1"/>
  <c r="AA95" i="6"/>
  <c r="AA28" i="8" s="1"/>
  <c r="AH94" i="6"/>
  <c r="AH95" i="6" s="1"/>
  <c r="AD51" i="4"/>
  <c r="C134" i="10" s="1"/>
  <c r="AE51" i="4"/>
  <c r="D134" i="10" s="1"/>
  <c r="AF51" i="4"/>
  <c r="E134" i="10" s="1"/>
  <c r="AG51" i="4"/>
  <c r="F134" i="10" s="1"/>
  <c r="AC13" i="6"/>
  <c r="AE13" i="6"/>
  <c r="AF13" i="6"/>
  <c r="AG13" i="6"/>
  <c r="AH13" i="6"/>
  <c r="AC37" i="4"/>
  <c r="AD37" i="4"/>
  <c r="AF37" i="4"/>
  <c r="AG37" i="4"/>
  <c r="E71" i="10"/>
  <c r="Y10" i="8"/>
  <c r="Y59" i="4"/>
  <c r="G69" i="10"/>
  <c r="B70" i="10"/>
  <c r="AC30" i="3"/>
  <c r="AC37" i="3"/>
  <c r="B72" i="10" s="1"/>
  <c r="B163" i="10" s="1"/>
  <c r="AF10" i="6"/>
  <c r="AG10" i="6"/>
  <c r="AA32" i="6"/>
  <c r="AH10" i="6"/>
  <c r="AH37" i="4" l="1"/>
  <c r="AH38" i="4"/>
  <c r="Z40" i="4"/>
  <c r="Z43" i="4" s="1"/>
  <c r="Z33" i="4"/>
  <c r="AA40" i="4"/>
  <c r="AA33" i="4"/>
  <c r="N27" i="7"/>
  <c r="N35" i="7" s="1"/>
  <c r="N37" i="7" s="1"/>
  <c r="H93" i="8"/>
  <c r="H94" i="8" s="1"/>
  <c r="I93" i="8" s="1"/>
  <c r="I94" i="8" s="1"/>
  <c r="M18" i="8"/>
  <c r="M76" i="8" s="1"/>
  <c r="M73" i="8" s="1"/>
  <c r="M100" i="8" s="1"/>
  <c r="M102" i="8" s="1"/>
  <c r="M121" i="8" s="1"/>
  <c r="L121" i="8"/>
  <c r="L122" i="8" s="1"/>
  <c r="L123" i="8" s="1"/>
  <c r="F20" i="8"/>
  <c r="F21" i="8" s="1"/>
  <c r="F23" i="8" s="1"/>
  <c r="F39" i="8" s="1"/>
  <c r="L80" i="8"/>
  <c r="L91" i="8" s="1"/>
  <c r="Z84" i="8"/>
  <c r="Q35" i="9"/>
  <c r="Q38" i="9"/>
  <c r="O63" i="8"/>
  <c r="O64" i="8" s="1"/>
  <c r="M29" i="8"/>
  <c r="M31" i="8" s="1"/>
  <c r="M38" i="8" s="1"/>
  <c r="Z10" i="8"/>
  <c r="AA51" i="4"/>
  <c r="AH51" i="4" s="1"/>
  <c r="G134" i="10" s="1"/>
  <c r="AH52" i="4"/>
  <c r="R54" i="8"/>
  <c r="R57" i="8" s="1"/>
  <c r="R51" i="8"/>
  <c r="Q35" i="8"/>
  <c r="Q36" i="8" s="1"/>
  <c r="Q22" i="7"/>
  <c r="AG24" i="5"/>
  <c r="X24" i="5"/>
  <c r="W35" i="5"/>
  <c r="AG35" i="5" s="1"/>
  <c r="W39" i="5"/>
  <c r="T44" i="4"/>
  <c r="T46" i="4" s="1"/>
  <c r="V46" i="5"/>
  <c r="O25" i="7"/>
  <c r="O26" i="7" s="1"/>
  <c r="P24" i="7"/>
  <c r="V44" i="5"/>
  <c r="V49" i="5" s="1"/>
  <c r="V44" i="4" s="1"/>
  <c r="V37" i="5"/>
  <c r="V43" i="5" s="1"/>
  <c r="V48" i="5" s="1"/>
  <c r="S54" i="4"/>
  <c r="AF50" i="4"/>
  <c r="U10" i="7"/>
  <c r="U16" i="8" s="1"/>
  <c r="U44" i="8"/>
  <c r="U45" i="8" s="1"/>
  <c r="T50" i="4"/>
  <c r="AG32" i="5"/>
  <c r="X32" i="5"/>
  <c r="W38" i="5"/>
  <c r="P12" i="8"/>
  <c r="Q60" i="8"/>
  <c r="P59" i="8"/>
  <c r="P61" i="8" s="1"/>
  <c r="P62" i="8" s="1"/>
  <c r="N30" i="8"/>
  <c r="N71" i="8"/>
  <c r="T48" i="5"/>
  <c r="V48" i="8"/>
  <c r="S46" i="4"/>
  <c r="AF46" i="4" s="1"/>
  <c r="AF44" i="4"/>
  <c r="S64" i="4"/>
  <c r="AF64" i="4" s="1"/>
  <c r="AF57" i="4"/>
  <c r="T57" i="4"/>
  <c r="AG34" i="5"/>
  <c r="W40" i="5"/>
  <c r="W46" i="5" s="1"/>
  <c r="W51" i="5" s="1"/>
  <c r="W50" i="4" s="1"/>
  <c r="W54" i="4" s="1"/>
  <c r="W49" i="8" s="1"/>
  <c r="X34" i="5"/>
  <c r="U18" i="7"/>
  <c r="U35" i="8" s="1"/>
  <c r="U36" i="8" s="1"/>
  <c r="U68" i="4"/>
  <c r="U22" i="7" s="1"/>
  <c r="U23" i="7" s="1"/>
  <c r="AF33" i="4"/>
  <c r="AH31" i="7"/>
  <c r="AG33" i="4"/>
  <c r="Z17" i="8"/>
  <c r="D68" i="10"/>
  <c r="AE37" i="3"/>
  <c r="D72" i="10" s="1"/>
  <c r="D163" i="10" s="1"/>
  <c r="AE26" i="3"/>
  <c r="AE30" i="3" s="1"/>
  <c r="AE33" i="4"/>
  <c r="AC33" i="4"/>
  <c r="Y17" i="8"/>
  <c r="Y75" i="8" s="1"/>
  <c r="AF30" i="3"/>
  <c r="L126" i="8"/>
  <c r="L127" i="8" s="1"/>
  <c r="AD30" i="3"/>
  <c r="AA43" i="8"/>
  <c r="AA63" i="4"/>
  <c r="AH63" i="4" s="1"/>
  <c r="AA45" i="4"/>
  <c r="AH45" i="4" s="1"/>
  <c r="AA21" i="7"/>
  <c r="AA14" i="7"/>
  <c r="AD33" i="4"/>
  <c r="AH30" i="3"/>
  <c r="AA83" i="8"/>
  <c r="AA33" i="6"/>
  <c r="AA39" i="6"/>
  <c r="AF32" i="6"/>
  <c r="AA30" i="7"/>
  <c r="AH32" i="6"/>
  <c r="AD35" i="5"/>
  <c r="AF35" i="5"/>
  <c r="F68" i="10"/>
  <c r="AG26" i="3"/>
  <c r="AG30" i="3" s="1"/>
  <c r="AG37" i="3"/>
  <c r="F72" i="10" s="1"/>
  <c r="F163" i="10" s="1"/>
  <c r="AE31" i="7"/>
  <c r="AF31" i="7"/>
  <c r="AG31" i="7"/>
  <c r="AH33" i="4" l="1"/>
  <c r="AH40" i="4"/>
  <c r="G132" i="10" s="1"/>
  <c r="AA43" i="4"/>
  <c r="AH43" i="4" s="1"/>
  <c r="G136" i="10" s="1"/>
  <c r="M80" i="8"/>
  <c r="M91" i="8" s="1"/>
  <c r="M109" i="8"/>
  <c r="M125" i="8" s="1"/>
  <c r="M126" i="8" s="1"/>
  <c r="M127" i="8" s="1"/>
  <c r="H20" i="8"/>
  <c r="H21" i="8" s="1"/>
  <c r="H23" i="8" s="1"/>
  <c r="H39" i="8" s="1"/>
  <c r="N18" i="8"/>
  <c r="N76" i="8" s="1"/>
  <c r="N73" i="8" s="1"/>
  <c r="N100" i="8" s="1"/>
  <c r="N102" i="8" s="1"/>
  <c r="N121" i="8" s="1"/>
  <c r="N122" i="8" s="1"/>
  <c r="N123" i="8" s="1"/>
  <c r="O27" i="7"/>
  <c r="AE27" i="7" s="1"/>
  <c r="M122" i="8"/>
  <c r="M123" i="8" s="1"/>
  <c r="AE26" i="7"/>
  <c r="O71" i="8"/>
  <c r="O30" i="8"/>
  <c r="N29" i="8"/>
  <c r="N31" i="8" s="1"/>
  <c r="N38" i="8" s="1"/>
  <c r="R78" i="8"/>
  <c r="E133" i="10"/>
  <c r="Q78" i="8"/>
  <c r="Q23" i="7"/>
  <c r="Q24" i="7" s="1"/>
  <c r="U50" i="8"/>
  <c r="U46" i="8"/>
  <c r="S44" i="8"/>
  <c r="S45" i="8" s="1"/>
  <c r="S46" i="8" s="1"/>
  <c r="S10" i="7"/>
  <c r="AG38" i="5"/>
  <c r="W44" i="5"/>
  <c r="W37" i="5"/>
  <c r="W43" i="5" s="1"/>
  <c r="W48" i="5" s="1"/>
  <c r="AG48" i="5" s="1"/>
  <c r="F111" i="10" s="1"/>
  <c r="T64" i="4"/>
  <c r="X38" i="5"/>
  <c r="Y32" i="5"/>
  <c r="V46" i="4"/>
  <c r="T44" i="8"/>
  <c r="T45" i="8" s="1"/>
  <c r="T46" i="8" s="1"/>
  <c r="T10" i="7"/>
  <c r="Y24" i="5"/>
  <c r="X39" i="5"/>
  <c r="X35" i="5"/>
  <c r="X40" i="5"/>
  <c r="X46" i="5" s="1"/>
  <c r="Y34" i="5"/>
  <c r="P25" i="7"/>
  <c r="P26" i="7" s="1"/>
  <c r="S66" i="4"/>
  <c r="AF66" i="4" s="1"/>
  <c r="S48" i="8"/>
  <c r="P66" i="8"/>
  <c r="P98" i="8" s="1"/>
  <c r="P63" i="8"/>
  <c r="P64" i="8" s="1"/>
  <c r="Q59" i="8"/>
  <c r="Q61" i="8" s="1"/>
  <c r="Q62" i="8" s="1"/>
  <c r="R60" i="8"/>
  <c r="Q12" i="8"/>
  <c r="T54" i="4"/>
  <c r="AG40" i="5"/>
  <c r="P79" i="8"/>
  <c r="P13" i="8"/>
  <c r="S49" i="8"/>
  <c r="AF54" i="4"/>
  <c r="V51" i="5"/>
  <c r="AG46" i="5"/>
  <c r="W45" i="5"/>
  <c r="AG39" i="5"/>
  <c r="AD43" i="4"/>
  <c r="C136" i="10" s="1"/>
  <c r="AF43" i="4"/>
  <c r="E136" i="10" s="1"/>
  <c r="AG43" i="4"/>
  <c r="F136" i="10" s="1"/>
  <c r="AA32" i="7"/>
  <c r="AH30" i="7"/>
  <c r="AA19" i="8"/>
  <c r="AA77" i="8" s="1"/>
  <c r="AE14" i="7"/>
  <c r="AA10" i="8"/>
  <c r="AA59" i="4"/>
  <c r="AD39" i="6"/>
  <c r="AF39" i="6"/>
  <c r="AH39" i="6"/>
  <c r="AD21" i="7"/>
  <c r="AH21" i="7"/>
  <c r="G135" i="10"/>
  <c r="AH14" i="7"/>
  <c r="AE37" i="5"/>
  <c r="AE33" i="6"/>
  <c r="AF33" i="6"/>
  <c r="AG33" i="6"/>
  <c r="AH33" i="6"/>
  <c r="AD45" i="4"/>
  <c r="AE45" i="4"/>
  <c r="D135" i="10" s="1"/>
  <c r="AF45" i="4"/>
  <c r="J93" i="8"/>
  <c r="J94" i="8" s="1"/>
  <c r="I20" i="8"/>
  <c r="I21" i="8" s="1"/>
  <c r="I23" i="8" s="1"/>
  <c r="I39" i="8" s="1"/>
  <c r="AE45" i="5"/>
  <c r="AA101" i="8"/>
  <c r="AA84" i="8"/>
  <c r="AD63" i="4"/>
  <c r="AF63" i="4"/>
  <c r="Z75" i="8"/>
  <c r="O18" i="8" l="1"/>
  <c r="O76" i="8" s="1"/>
  <c r="O73" i="8" s="1"/>
  <c r="O100" i="8" s="1"/>
  <c r="O102" i="8" s="1"/>
  <c r="O35" i="7"/>
  <c r="O37" i="7" s="1"/>
  <c r="P27" i="7"/>
  <c r="P35" i="7" s="1"/>
  <c r="N109" i="8"/>
  <c r="N125" i="8" s="1"/>
  <c r="N126" i="8" s="1"/>
  <c r="N127" i="8" s="1"/>
  <c r="N80" i="8"/>
  <c r="N91" i="8" s="1"/>
  <c r="AG37" i="5"/>
  <c r="O29" i="8"/>
  <c r="O31" i="8" s="1"/>
  <c r="O38" i="8" s="1"/>
  <c r="AE35" i="7"/>
  <c r="AE37" i="7" s="1"/>
  <c r="S50" i="8"/>
  <c r="S54" i="8" s="1"/>
  <c r="S57" i="8" s="1"/>
  <c r="S60" i="8" s="1"/>
  <c r="U54" i="8"/>
  <c r="U57" i="8" s="1"/>
  <c r="U51" i="8"/>
  <c r="AG43" i="5"/>
  <c r="S16" i="8"/>
  <c r="S74" i="8" s="1"/>
  <c r="AF10" i="7"/>
  <c r="Q79" i="8"/>
  <c r="Q13" i="8"/>
  <c r="P30" i="8"/>
  <c r="P71" i="8"/>
  <c r="Q25" i="7"/>
  <c r="Q26" i="7" s="1"/>
  <c r="R24" i="7"/>
  <c r="R25" i="7" s="1"/>
  <c r="R26" i="7" s="1"/>
  <c r="T16" i="8"/>
  <c r="X44" i="5"/>
  <c r="X37" i="5"/>
  <c r="X43" i="5" s="1"/>
  <c r="X48" i="5" s="1"/>
  <c r="W50" i="5"/>
  <c r="AG45" i="5"/>
  <c r="R59" i="8"/>
  <c r="R61" i="8" s="1"/>
  <c r="R62" i="8" s="1"/>
  <c r="R12" i="8"/>
  <c r="W49" i="5"/>
  <c r="AG44" i="5"/>
  <c r="Q66" i="8"/>
  <c r="Q98" i="8" s="1"/>
  <c r="Q63" i="8"/>
  <c r="Q64" i="8" s="1"/>
  <c r="V10" i="7"/>
  <c r="V16" i="8" s="1"/>
  <c r="V74" i="8" s="1"/>
  <c r="V44" i="8"/>
  <c r="V45" i="8" s="1"/>
  <c r="V46" i="8" s="1"/>
  <c r="V50" i="4"/>
  <c r="AG51" i="5"/>
  <c r="F109" i="10" s="1"/>
  <c r="X45" i="5"/>
  <c r="X50" i="5" s="1"/>
  <c r="X57" i="4" s="1"/>
  <c r="X64" i="4" s="1"/>
  <c r="S68" i="4"/>
  <c r="S18" i="7"/>
  <c r="Y40" i="5"/>
  <c r="Y46" i="5" s="1"/>
  <c r="Y51" i="5" s="1"/>
  <c r="Y50" i="4" s="1"/>
  <c r="Y54" i="4" s="1"/>
  <c r="Y49" i="8" s="1"/>
  <c r="Z34" i="5"/>
  <c r="Z24" i="5"/>
  <c r="Y39" i="5"/>
  <c r="Y45" i="5" s="1"/>
  <c r="Y50" i="5" s="1"/>
  <c r="Y57" i="4" s="1"/>
  <c r="Y64" i="4" s="1"/>
  <c r="Y35" i="5"/>
  <c r="T48" i="8"/>
  <c r="T66" i="4"/>
  <c r="T49" i="8"/>
  <c r="X51" i="5"/>
  <c r="Y38" i="5"/>
  <c r="Z32" i="5"/>
  <c r="C135" i="10"/>
  <c r="C141" i="10" s="1"/>
  <c r="C162" i="10" s="1"/>
  <c r="AD50" i="5"/>
  <c r="C108" i="10" s="1"/>
  <c r="K93" i="8"/>
  <c r="K94" i="8" s="1"/>
  <c r="J20" i="8"/>
  <c r="J21" i="8" s="1"/>
  <c r="J23" i="8" s="1"/>
  <c r="J39" i="8" s="1"/>
  <c r="AA17" i="8"/>
  <c r="AA75" i="8" s="1"/>
  <c r="AH32" i="7"/>
  <c r="AE46" i="4"/>
  <c r="E135" i="10"/>
  <c r="E141" i="10" s="1"/>
  <c r="E162" i="10" s="1"/>
  <c r="AE59" i="4"/>
  <c r="D139" i="10" s="1"/>
  <c r="D141" i="10" s="1"/>
  <c r="D162" i="10" s="1"/>
  <c r="AH59" i="4"/>
  <c r="G139" i="10" s="1"/>
  <c r="P29" i="8" l="1"/>
  <c r="P31" i="8" s="1"/>
  <c r="P38" i="8" s="1"/>
  <c r="O80" i="8"/>
  <c r="O91" i="8" s="1"/>
  <c r="P37" i="7"/>
  <c r="P18" i="8"/>
  <c r="P76" i="8" s="1"/>
  <c r="P73" i="8" s="1"/>
  <c r="P100" i="8" s="1"/>
  <c r="P102" i="8" s="1"/>
  <c r="P109" i="8" s="1"/>
  <c r="P125" i="8" s="1"/>
  <c r="S51" i="8"/>
  <c r="Q27" i="7"/>
  <c r="Q35" i="7" s="1"/>
  <c r="Q37" i="7" s="1"/>
  <c r="T50" i="8"/>
  <c r="S35" i="8"/>
  <c r="S78" i="8" s="1"/>
  <c r="AF18" i="7"/>
  <c r="O109" i="8"/>
  <c r="O121" i="8"/>
  <c r="O122" i="8" s="1"/>
  <c r="O123" i="8" s="1"/>
  <c r="S22" i="7"/>
  <c r="AF68" i="4"/>
  <c r="AA24" i="5"/>
  <c r="AH24" i="5" s="1"/>
  <c r="Z35" i="5"/>
  <c r="Z39" i="5"/>
  <c r="Z45" i="5" s="1"/>
  <c r="Z50" i="5" s="1"/>
  <c r="X48" i="8"/>
  <c r="W57" i="4"/>
  <c r="AG50" i="5"/>
  <c r="F108" i="10" s="1"/>
  <c r="X50" i="4"/>
  <c r="Z40" i="5"/>
  <c r="Z46" i="5" s="1"/>
  <c r="AA34" i="5"/>
  <c r="AA40" i="5" s="1"/>
  <c r="W44" i="4"/>
  <c r="AG49" i="5"/>
  <c r="F107" i="10" s="1"/>
  <c r="T18" i="7"/>
  <c r="T68" i="4"/>
  <c r="S12" i="8"/>
  <c r="S59" i="8"/>
  <c r="S61" i="8" s="1"/>
  <c r="S62" i="8" s="1"/>
  <c r="R13" i="8"/>
  <c r="R79" i="8"/>
  <c r="X49" i="5"/>
  <c r="Z38" i="5"/>
  <c r="AA32" i="5"/>
  <c r="AA38" i="5" s="1"/>
  <c r="V54" i="4"/>
  <c r="V66" i="4" s="1"/>
  <c r="V18" i="7" s="1"/>
  <c r="V35" i="8" s="1"/>
  <c r="AG50" i="4"/>
  <c r="Q30" i="8"/>
  <c r="Q71" i="8"/>
  <c r="R66" i="8"/>
  <c r="R98" i="8" s="1"/>
  <c r="R63" i="8"/>
  <c r="R64" i="8" s="1"/>
  <c r="Y44" i="5"/>
  <c r="Y49" i="5" s="1"/>
  <c r="Y44" i="4" s="1"/>
  <c r="Y46" i="4" s="1"/>
  <c r="Y66" i="4" s="1"/>
  <c r="Y37" i="5"/>
  <c r="Y43" i="5" s="1"/>
  <c r="Y48" i="8"/>
  <c r="U74" i="8"/>
  <c r="T74" i="8"/>
  <c r="L93" i="8"/>
  <c r="L94" i="8" s="1"/>
  <c r="K20" i="8"/>
  <c r="K21" i="8" s="1"/>
  <c r="K23" i="8" s="1"/>
  <c r="K39" i="8" s="1"/>
  <c r="Q29" i="8" l="1"/>
  <c r="Q31" i="8" s="1"/>
  <c r="Q38" i="8" s="1"/>
  <c r="P121" i="8"/>
  <c r="P122" i="8" s="1"/>
  <c r="P123" i="8" s="1"/>
  <c r="P80" i="8"/>
  <c r="P91" i="8" s="1"/>
  <c r="AH32" i="5"/>
  <c r="AH34" i="5"/>
  <c r="S36" i="8"/>
  <c r="V68" i="4"/>
  <c r="V22" i="7" s="1"/>
  <c r="V23" i="7" s="1"/>
  <c r="V78" i="8"/>
  <c r="V36" i="8"/>
  <c r="Q18" i="8"/>
  <c r="Q76" i="8" s="1"/>
  <c r="Q73" i="8" s="1"/>
  <c r="Q100" i="8" s="1"/>
  <c r="Q102" i="8" s="1"/>
  <c r="S23" i="7"/>
  <c r="S24" i="7" s="1"/>
  <c r="S25" i="7" s="1"/>
  <c r="S26" i="7" s="1"/>
  <c r="AF22" i="7"/>
  <c r="T54" i="8"/>
  <c r="T57" i="8" s="1"/>
  <c r="T51" i="8"/>
  <c r="R27" i="7"/>
  <c r="AE109" i="8"/>
  <c r="O125" i="8"/>
  <c r="O126" i="8" s="1"/>
  <c r="O127" i="8" s="1"/>
  <c r="X44" i="4"/>
  <c r="T22" i="7"/>
  <c r="AA44" i="5"/>
  <c r="AA49" i="5" s="1"/>
  <c r="AA44" i="4" s="1"/>
  <c r="AA46" i="4" s="1"/>
  <c r="S66" i="8"/>
  <c r="S98" i="8" s="1"/>
  <c r="S63" i="8"/>
  <c r="S64" i="8" s="1"/>
  <c r="AH40" i="5"/>
  <c r="AA46" i="5"/>
  <c r="AA51" i="5" s="1"/>
  <c r="AA50" i="4" s="1"/>
  <c r="AA54" i="4" s="1"/>
  <c r="AA49" i="8" s="1"/>
  <c r="Y68" i="4"/>
  <c r="Y22" i="7" s="1"/>
  <c r="Y23" i="7" s="1"/>
  <c r="Y18" i="7"/>
  <c r="Y35" i="8" s="1"/>
  <c r="Y36" i="8" s="1"/>
  <c r="Z57" i="4"/>
  <c r="Y48" i="5"/>
  <c r="Z44" i="5"/>
  <c r="Z49" i="5" s="1"/>
  <c r="Z44" i="4" s="1"/>
  <c r="Z46" i="4" s="1"/>
  <c r="Z37" i="5"/>
  <c r="Z43" i="5" s="1"/>
  <c r="Z48" i="5" s="1"/>
  <c r="Z51" i="5"/>
  <c r="W64" i="4"/>
  <c r="AG64" i="4" s="1"/>
  <c r="AG57" i="4"/>
  <c r="AA39" i="5"/>
  <c r="AA35" i="5"/>
  <c r="AH35" i="5" s="1"/>
  <c r="S13" i="8"/>
  <c r="S79" i="8"/>
  <c r="T35" i="8"/>
  <c r="Y44" i="8"/>
  <c r="Y45" i="8" s="1"/>
  <c r="Y10" i="7"/>
  <c r="Y16" i="8" s="1"/>
  <c r="R71" i="8"/>
  <c r="R30" i="8"/>
  <c r="V49" i="8"/>
  <c r="V50" i="8" s="1"/>
  <c r="AG54" i="4"/>
  <c r="W46" i="4"/>
  <c r="AG46" i="4" s="1"/>
  <c r="AG44" i="4"/>
  <c r="X54" i="4"/>
  <c r="AH38" i="5"/>
  <c r="M93" i="8"/>
  <c r="M94" i="8" s="1"/>
  <c r="L20" i="8"/>
  <c r="L21" i="8" s="1"/>
  <c r="L23" i="8" s="1"/>
  <c r="L39" i="8" s="1"/>
  <c r="R29" i="8" l="1"/>
  <c r="R31" i="8" s="1"/>
  <c r="R38" i="8" s="1"/>
  <c r="Q80" i="8"/>
  <c r="Q91" i="8" s="1"/>
  <c r="AH44" i="5"/>
  <c r="AH46" i="5"/>
  <c r="F133" i="10"/>
  <c r="F141" i="10" s="1"/>
  <c r="F162" i="10" s="1"/>
  <c r="T60" i="8"/>
  <c r="Y50" i="8"/>
  <c r="Y46" i="8"/>
  <c r="S27" i="7"/>
  <c r="AF26" i="7"/>
  <c r="V54" i="8"/>
  <c r="V57" i="8" s="1"/>
  <c r="V51" i="8"/>
  <c r="R35" i="7"/>
  <c r="R37" i="7" s="1"/>
  <c r="R18" i="8"/>
  <c r="R76" i="8" s="1"/>
  <c r="R73" i="8" s="1"/>
  <c r="R100" i="8" s="1"/>
  <c r="R102" i="8" s="1"/>
  <c r="R109" i="8" s="1"/>
  <c r="R125" i="8" s="1"/>
  <c r="Q121" i="8"/>
  <c r="Q109" i="8"/>
  <c r="P126" i="8"/>
  <c r="P127" i="8" s="1"/>
  <c r="AH44" i="4"/>
  <c r="X46" i="4"/>
  <c r="X66" i="4" s="1"/>
  <c r="S71" i="8"/>
  <c r="S30" i="8"/>
  <c r="Z50" i="4"/>
  <c r="AH51" i="5"/>
  <c r="G109" i="10" s="1"/>
  <c r="X49" i="8"/>
  <c r="T78" i="8"/>
  <c r="T36" i="8"/>
  <c r="U78" i="8"/>
  <c r="AA45" i="5"/>
  <c r="AH39" i="5"/>
  <c r="Z64" i="4"/>
  <c r="Z44" i="8"/>
  <c r="Z45" i="8" s="1"/>
  <c r="Z46" i="8" s="1"/>
  <c r="Z10" i="7"/>
  <c r="Z16" i="8" s="1"/>
  <c r="Z74" i="8" s="1"/>
  <c r="AA37" i="5"/>
  <c r="T23" i="7"/>
  <c r="T24" i="7" s="1"/>
  <c r="W44" i="8"/>
  <c r="W45" i="8" s="1"/>
  <c r="W10" i="7"/>
  <c r="W48" i="8"/>
  <c r="W66" i="4"/>
  <c r="AG66" i="4" s="1"/>
  <c r="AA44" i="8"/>
  <c r="AA45" i="8" s="1"/>
  <c r="AA46" i="8" s="1"/>
  <c r="AA10" i="7"/>
  <c r="AA16" i="8" s="1"/>
  <c r="AH49" i="5"/>
  <c r="G107" i="10" s="1"/>
  <c r="N93" i="8"/>
  <c r="N94" i="8" s="1"/>
  <c r="M20" i="8"/>
  <c r="M21" i="8" s="1"/>
  <c r="M23" i="8" s="1"/>
  <c r="M39" i="8" s="1"/>
  <c r="S29" i="8" l="1"/>
  <c r="S31" i="8" s="1"/>
  <c r="S38" i="8" s="1"/>
  <c r="X68" i="4"/>
  <c r="X18" i="7"/>
  <c r="R121" i="8"/>
  <c r="R122" i="8" s="1"/>
  <c r="Q122" i="8"/>
  <c r="Q123" i="8" s="1"/>
  <c r="W16" i="8"/>
  <c r="W74" i="8" s="1"/>
  <c r="AG10" i="7"/>
  <c r="AF27" i="7"/>
  <c r="AF35" i="7" s="1"/>
  <c r="AF37" i="7" s="1"/>
  <c r="S35" i="7"/>
  <c r="S37" i="7" s="1"/>
  <c r="S18" i="8"/>
  <c r="S76" i="8" s="1"/>
  <c r="S73" i="8" s="1"/>
  <c r="S100" i="8" s="1"/>
  <c r="S102" i="8" s="1"/>
  <c r="Y54" i="8"/>
  <c r="Y57" i="8" s="1"/>
  <c r="Y51" i="8"/>
  <c r="W50" i="8"/>
  <c r="W46" i="8"/>
  <c r="R80" i="8"/>
  <c r="R91" i="8" s="1"/>
  <c r="AA74" i="8"/>
  <c r="Q125" i="8"/>
  <c r="U60" i="8"/>
  <c r="T12" i="8"/>
  <c r="T59" i="8"/>
  <c r="Z48" i="8"/>
  <c r="W68" i="4"/>
  <c r="W18" i="7"/>
  <c r="U24" i="7"/>
  <c r="T25" i="7"/>
  <c r="T26" i="7" s="1"/>
  <c r="Z54" i="4"/>
  <c r="Z66" i="4" s="1"/>
  <c r="AH50" i="4"/>
  <c r="X10" i="7"/>
  <c r="X44" i="8"/>
  <c r="X45" i="8" s="1"/>
  <c r="AH46" i="4"/>
  <c r="AH37" i="5"/>
  <c r="AA43" i="5"/>
  <c r="AH45" i="5"/>
  <c r="AA50" i="5"/>
  <c r="O93" i="8"/>
  <c r="O94" i="8" s="1"/>
  <c r="N20" i="8"/>
  <c r="N21" i="8" s="1"/>
  <c r="N23" i="8" s="1"/>
  <c r="N39" i="8" s="1"/>
  <c r="R123" i="8" l="1"/>
  <c r="T61" i="8"/>
  <c r="T62" i="8" s="1"/>
  <c r="T66" i="8" s="1"/>
  <c r="T98" i="8" s="1"/>
  <c r="S121" i="8"/>
  <c r="S122" i="8" s="1"/>
  <c r="S123" i="8" s="1"/>
  <c r="S109" i="8"/>
  <c r="W22" i="7"/>
  <c r="AG68" i="4"/>
  <c r="V60" i="8"/>
  <c r="V59" i="8" s="1"/>
  <c r="V61" i="8" s="1"/>
  <c r="V62" i="8" s="1"/>
  <c r="V66" i="8" s="1"/>
  <c r="V98" i="8" s="1"/>
  <c r="U59" i="8"/>
  <c r="U61" i="8" s="1"/>
  <c r="U62" i="8" s="1"/>
  <c r="U12" i="8"/>
  <c r="W54" i="8"/>
  <c r="W57" i="8" s="1"/>
  <c r="W51" i="8"/>
  <c r="S80" i="8"/>
  <c r="S91" i="8" s="1"/>
  <c r="X22" i="7"/>
  <c r="Q126" i="8"/>
  <c r="Q127" i="8" s="1"/>
  <c r="R126" i="8"/>
  <c r="R127" i="8" s="1"/>
  <c r="X50" i="8"/>
  <c r="X46" i="8"/>
  <c r="W35" i="8"/>
  <c r="W36" i="8" s="1"/>
  <c r="AG18" i="7"/>
  <c r="T79" i="8"/>
  <c r="T13" i="8"/>
  <c r="X35" i="8"/>
  <c r="Z18" i="7"/>
  <c r="Z35" i="8" s="1"/>
  <c r="Z68" i="4"/>
  <c r="Z22" i="7" s="1"/>
  <c r="Z23" i="7" s="1"/>
  <c r="AA48" i="5"/>
  <c r="AH48" i="5" s="1"/>
  <c r="G111" i="10" s="1"/>
  <c r="AH43" i="5"/>
  <c r="Z49" i="8"/>
  <c r="Z50" i="8" s="1"/>
  <c r="AH54" i="4"/>
  <c r="AA57" i="4"/>
  <c r="AH50" i="5"/>
  <c r="G108" i="10" s="1"/>
  <c r="X16" i="8"/>
  <c r="AH10" i="7"/>
  <c r="T27" i="7"/>
  <c r="V24" i="7"/>
  <c r="U25" i="7"/>
  <c r="U26" i="7" s="1"/>
  <c r="P93" i="8"/>
  <c r="P94" i="8" s="1"/>
  <c r="O20" i="8"/>
  <c r="O21" i="8" s="1"/>
  <c r="O23" i="8" s="1"/>
  <c r="O39" i="8" s="1"/>
  <c r="T63" i="8" l="1"/>
  <c r="W78" i="8"/>
  <c r="X23" i="7"/>
  <c r="W60" i="8"/>
  <c r="V12" i="8"/>
  <c r="U79" i="8"/>
  <c r="U13" i="8"/>
  <c r="V63" i="8"/>
  <c r="V64" i="8" s="1"/>
  <c r="Y78" i="8"/>
  <c r="X36" i="8"/>
  <c r="U66" i="8"/>
  <c r="U98" i="8" s="1"/>
  <c r="U63" i="8"/>
  <c r="X54" i="8"/>
  <c r="X57" i="8" s="1"/>
  <c r="X51" i="8"/>
  <c r="U27" i="7"/>
  <c r="U18" i="8" s="1"/>
  <c r="Z54" i="8"/>
  <c r="Z57" i="8" s="1"/>
  <c r="Z51" i="8"/>
  <c r="X78" i="8"/>
  <c r="W23" i="7"/>
  <c r="W24" i="7" s="1"/>
  <c r="AG22" i="7"/>
  <c r="S125" i="8"/>
  <c r="S126" i="8" s="1"/>
  <c r="S127" i="8" s="1"/>
  <c r="AF109" i="8"/>
  <c r="Z78" i="8"/>
  <c r="Z36" i="8"/>
  <c r="X74" i="8"/>
  <c r="Y74" i="8"/>
  <c r="V25" i="7"/>
  <c r="V26" i="7" s="1"/>
  <c r="AA64" i="4"/>
  <c r="AH64" i="4" s="1"/>
  <c r="AH57" i="4"/>
  <c r="G133" i="10" s="1"/>
  <c r="G141" i="10" s="1"/>
  <c r="G162" i="10" s="1"/>
  <c r="T18" i="8"/>
  <c r="T76" i="8" s="1"/>
  <c r="T73" i="8" s="1"/>
  <c r="T100" i="8" s="1"/>
  <c r="T102" i="8" s="1"/>
  <c r="T35" i="7"/>
  <c r="T37" i="7" s="1"/>
  <c r="Q93" i="8"/>
  <c r="Q94" i="8" s="1"/>
  <c r="P20" i="8"/>
  <c r="P21" i="8" s="1"/>
  <c r="P23" i="8" s="1"/>
  <c r="P39" i="8" s="1"/>
  <c r="U35" i="7" l="1"/>
  <c r="U37" i="7" s="1"/>
  <c r="T64" i="8"/>
  <c r="T71" i="8"/>
  <c r="T80" i="8" s="1"/>
  <c r="T91" i="8" s="1"/>
  <c r="T30" i="8"/>
  <c r="T29" i="8" s="1"/>
  <c r="T31" i="8" s="1"/>
  <c r="T38" i="8" s="1"/>
  <c r="V71" i="8"/>
  <c r="U76" i="8"/>
  <c r="U73" i="8" s="1"/>
  <c r="U100" i="8" s="1"/>
  <c r="U102" i="8" s="1"/>
  <c r="U121" i="8" s="1"/>
  <c r="U64" i="8"/>
  <c r="U71" i="8"/>
  <c r="U30" i="8"/>
  <c r="V13" i="8"/>
  <c r="V79" i="8"/>
  <c r="V27" i="7"/>
  <c r="V35" i="7" s="1"/>
  <c r="W12" i="8"/>
  <c r="X60" i="8"/>
  <c r="X59" i="8" s="1"/>
  <c r="X61" i="8" s="1"/>
  <c r="X62" i="8" s="1"/>
  <c r="V30" i="8"/>
  <c r="W59" i="8"/>
  <c r="W61" i="8" s="1"/>
  <c r="W62" i="8" s="1"/>
  <c r="W25" i="7"/>
  <c r="W26" i="7" s="1"/>
  <c r="AG26" i="7" s="1"/>
  <c r="X24" i="7"/>
  <c r="T121" i="8"/>
  <c r="T122" i="8" s="1"/>
  <c r="T123" i="8" s="1"/>
  <c r="T109" i="8"/>
  <c r="T125" i="8" s="1"/>
  <c r="T126" i="8" s="1"/>
  <c r="T127" i="8" s="1"/>
  <c r="AA48" i="8"/>
  <c r="AA50" i="8" s="1"/>
  <c r="AA66" i="4"/>
  <c r="AH66" i="4" s="1"/>
  <c r="R93" i="8"/>
  <c r="R94" i="8" s="1"/>
  <c r="Q20" i="8"/>
  <c r="Q21" i="8" s="1"/>
  <c r="Q23" i="8" s="1"/>
  <c r="Q39" i="8" s="1"/>
  <c r="V37" i="7" l="1"/>
  <c r="U29" i="8"/>
  <c r="U31" i="8" s="1"/>
  <c r="U38" i="8" s="1"/>
  <c r="U80" i="8"/>
  <c r="U91" i="8" s="1"/>
  <c r="V18" i="8"/>
  <c r="V76" i="8" s="1"/>
  <c r="V73" i="8" s="1"/>
  <c r="V100" i="8" s="1"/>
  <c r="V102" i="8" s="1"/>
  <c r="V109" i="8" s="1"/>
  <c r="V125" i="8" s="1"/>
  <c r="W27" i="7"/>
  <c r="AG27" i="7" s="1"/>
  <c r="AG35" i="7" s="1"/>
  <c r="AG37" i="7" s="1"/>
  <c r="U109" i="8"/>
  <c r="U125" i="8" s="1"/>
  <c r="U126" i="8" s="1"/>
  <c r="U127" i="8" s="1"/>
  <c r="AA54" i="8"/>
  <c r="AA57" i="8" s="1"/>
  <c r="AA51" i="8"/>
  <c r="U122" i="8"/>
  <c r="U123" i="8" s="1"/>
  <c r="Y60" i="8"/>
  <c r="X12" i="8"/>
  <c r="W13" i="8"/>
  <c r="W79" i="8"/>
  <c r="X66" i="8"/>
  <c r="X98" i="8" s="1"/>
  <c r="X63" i="8"/>
  <c r="W63" i="8"/>
  <c r="W66" i="8"/>
  <c r="W98" i="8" s="1"/>
  <c r="Y24" i="7"/>
  <c r="X25" i="7"/>
  <c r="X26" i="7" s="1"/>
  <c r="AA18" i="7"/>
  <c r="AA68" i="4"/>
  <c r="S93" i="8"/>
  <c r="S94" i="8" s="1"/>
  <c r="R20" i="8"/>
  <c r="R21" i="8" s="1"/>
  <c r="R23" i="8" s="1"/>
  <c r="R39" i="8" s="1"/>
  <c r="V29" i="8" l="1"/>
  <c r="V31" i="8" s="1"/>
  <c r="V38" i="8" s="1"/>
  <c r="V121" i="8"/>
  <c r="V122" i="8" s="1"/>
  <c r="V123" i="8" s="1"/>
  <c r="V80" i="8"/>
  <c r="V91" i="8" s="1"/>
  <c r="V126" i="8"/>
  <c r="V127" i="8" s="1"/>
  <c r="W18" i="8"/>
  <c r="W76" i="8" s="1"/>
  <c r="W73" i="8" s="1"/>
  <c r="W100" i="8" s="1"/>
  <c r="W102" i="8" s="1"/>
  <c r="W109" i="8" s="1"/>
  <c r="W35" i="7"/>
  <c r="W37" i="7" s="1"/>
  <c r="W64" i="8"/>
  <c r="W30" i="8"/>
  <c r="W71" i="8"/>
  <c r="Y12" i="8"/>
  <c r="Z60" i="8"/>
  <c r="Z59" i="8" s="1"/>
  <c r="Z61" i="8" s="1"/>
  <c r="Z62" i="8" s="1"/>
  <c r="Y59" i="8"/>
  <c r="Y61" i="8" s="1"/>
  <c r="Y62" i="8" s="1"/>
  <c r="AA22" i="7"/>
  <c r="AH68" i="4"/>
  <c r="X64" i="8"/>
  <c r="X30" i="8"/>
  <c r="X71" i="8"/>
  <c r="AA35" i="8"/>
  <c r="AA36" i="8" s="1"/>
  <c r="AH18" i="7"/>
  <c r="X13" i="8"/>
  <c r="X79" i="8"/>
  <c r="Y25" i="7"/>
  <c r="Y26" i="7" s="1"/>
  <c r="Z24" i="7"/>
  <c r="X27" i="7"/>
  <c r="T93" i="8"/>
  <c r="T94" i="8" s="1"/>
  <c r="S20" i="8"/>
  <c r="S21" i="8" s="1"/>
  <c r="S23" i="8" s="1"/>
  <c r="S39" i="8" s="1"/>
  <c r="W29" i="8" l="1"/>
  <c r="W31" i="8" s="1"/>
  <c r="W38" i="8" s="1"/>
  <c r="W80" i="8"/>
  <c r="W91" i="8" s="1"/>
  <c r="W121" i="8"/>
  <c r="W122" i="8" s="1"/>
  <c r="W123" i="8" s="1"/>
  <c r="AA78" i="8"/>
  <c r="Z66" i="8"/>
  <c r="Z98" i="8" s="1"/>
  <c r="Z63" i="8"/>
  <c r="Z64" i="8" s="1"/>
  <c r="Y79" i="8"/>
  <c r="Y13" i="8"/>
  <c r="W125" i="8"/>
  <c r="W126" i="8" s="1"/>
  <c r="W127" i="8" s="1"/>
  <c r="AG109" i="8"/>
  <c r="AA23" i="7"/>
  <c r="AA24" i="7" s="1"/>
  <c r="AA25" i="7" s="1"/>
  <c r="AA26" i="7" s="1"/>
  <c r="AH22" i="7"/>
  <c r="Y66" i="8"/>
  <c r="Y98" i="8" s="1"/>
  <c r="Y63" i="8"/>
  <c r="AA60" i="8"/>
  <c r="AA12" i="8" s="1"/>
  <c r="Z12" i="8"/>
  <c r="X18" i="8"/>
  <c r="X76" i="8" s="1"/>
  <c r="X73" i="8" s="1"/>
  <c r="X100" i="8" s="1"/>
  <c r="X35" i="7"/>
  <c r="X37" i="7" s="1"/>
  <c r="Z25" i="7"/>
  <c r="Z26" i="7" s="1"/>
  <c r="Y27" i="7"/>
  <c r="U93" i="8"/>
  <c r="U94" i="8" s="1"/>
  <c r="T20" i="8"/>
  <c r="T21" i="8" s="1"/>
  <c r="T23" i="8" s="1"/>
  <c r="T39" i="8" s="1"/>
  <c r="X29" i="8" l="1"/>
  <c r="X31" i="8" s="1"/>
  <c r="X38" i="8" s="1"/>
  <c r="Z71" i="8"/>
  <c r="Z30" i="8"/>
  <c r="AA79" i="8"/>
  <c r="AA13" i="8"/>
  <c r="X80" i="8"/>
  <c r="X91" i="8" s="1"/>
  <c r="AH26" i="7"/>
  <c r="Z13" i="8"/>
  <c r="Z79" i="8"/>
  <c r="Y64" i="8"/>
  <c r="Y71" i="8"/>
  <c r="Y30" i="8"/>
  <c r="X102" i="8"/>
  <c r="AA59" i="8"/>
  <c r="AA61" i="8" s="1"/>
  <c r="AA62" i="8" s="1"/>
  <c r="Y18" i="8"/>
  <c r="Y76" i="8" s="1"/>
  <c r="Y73" i="8" s="1"/>
  <c r="Y100" i="8" s="1"/>
  <c r="Y102" i="8" s="1"/>
  <c r="Y35" i="7"/>
  <c r="Y37" i="7" s="1"/>
  <c r="Z27" i="7"/>
  <c r="V93" i="8"/>
  <c r="V94" i="8" s="1"/>
  <c r="U20" i="8"/>
  <c r="U21" i="8" s="1"/>
  <c r="U23" i="8" s="1"/>
  <c r="U39" i="8" s="1"/>
  <c r="Y29" i="8" l="1"/>
  <c r="Y31" i="8" s="1"/>
  <c r="Y38" i="8" s="1"/>
  <c r="X109" i="8"/>
  <c r="X125" i="8" s="1"/>
  <c r="X121" i="8"/>
  <c r="Y80" i="8"/>
  <c r="Y91" i="8" s="1"/>
  <c r="AA66" i="8"/>
  <c r="AA98" i="8" s="1"/>
  <c r="AA63" i="8"/>
  <c r="AA27" i="7"/>
  <c r="Z18" i="8"/>
  <c r="Z76" i="8" s="1"/>
  <c r="Z73" i="8" s="1"/>
  <c r="Z35" i="7"/>
  <c r="Z37" i="7" s="1"/>
  <c r="Y121" i="8"/>
  <c r="Y109" i="8"/>
  <c r="Y125" i="8" s="1"/>
  <c r="W93" i="8"/>
  <c r="W94" i="8" s="1"/>
  <c r="V20" i="8"/>
  <c r="V21" i="8" s="1"/>
  <c r="V23" i="8" s="1"/>
  <c r="V39" i="8" s="1"/>
  <c r="Z29" i="8" l="1"/>
  <c r="Z31" i="8" s="1"/>
  <c r="Z38" i="8" s="1"/>
  <c r="AB98" i="8"/>
  <c r="X126" i="8"/>
  <c r="X127" i="8" s="1"/>
  <c r="Y126" i="8"/>
  <c r="AA64" i="8"/>
  <c r="AA30" i="8"/>
  <c r="AA71" i="8"/>
  <c r="Z100" i="8"/>
  <c r="Z80" i="8"/>
  <c r="Z91" i="8" s="1"/>
  <c r="X122" i="8"/>
  <c r="X123" i="8" s="1"/>
  <c r="Y122" i="8"/>
  <c r="AA35" i="7"/>
  <c r="AA37" i="7" s="1"/>
  <c r="AA18" i="8"/>
  <c r="AA76" i="8" s="1"/>
  <c r="AA73" i="8" s="1"/>
  <c r="AA100" i="8" s="1"/>
  <c r="AA102" i="8" s="1"/>
  <c r="AH27" i="7"/>
  <c r="AH35" i="7" s="1"/>
  <c r="AH37" i="7" s="1"/>
  <c r="X93" i="8"/>
  <c r="X94" i="8" s="1"/>
  <c r="W20" i="8"/>
  <c r="W21" i="8" s="1"/>
  <c r="W23" i="8" s="1"/>
  <c r="W39" i="8" s="1"/>
  <c r="Y127" i="8" l="1"/>
  <c r="Y123" i="8"/>
  <c r="AA29" i="8"/>
  <c r="AA31" i="8" s="1"/>
  <c r="AA38" i="8" s="1"/>
  <c r="AA121" i="8"/>
  <c r="AA109" i="8"/>
  <c r="Z102" i="8"/>
  <c r="AB100" i="8"/>
  <c r="AB102" i="8" s="1"/>
  <c r="AA80" i="8"/>
  <c r="AA91" i="8" s="1"/>
  <c r="Y93" i="8"/>
  <c r="Y94" i="8" s="1"/>
  <c r="X20" i="8"/>
  <c r="X21" i="8" s="1"/>
  <c r="X23" i="8" s="1"/>
  <c r="X39" i="8" s="1"/>
  <c r="AB104" i="8" l="1"/>
  <c r="AB109" i="8" s="1"/>
  <c r="B116" i="8" s="1"/>
  <c r="B118" i="8"/>
  <c r="F10" i="10" s="1"/>
  <c r="Z121" i="8"/>
  <c r="Z122" i="8" s="1"/>
  <c r="Z123" i="8" s="1"/>
  <c r="Z109" i="8"/>
  <c r="AA125" i="8"/>
  <c r="Z93" i="8"/>
  <c r="Z94" i="8" s="1"/>
  <c r="Y20" i="8"/>
  <c r="Y21" i="8" s="1"/>
  <c r="Y23" i="8" s="1"/>
  <c r="Y39" i="8" s="1"/>
  <c r="Z111" i="8" l="1"/>
  <c r="AA111" i="8"/>
  <c r="N24" i="10" s="1"/>
  <c r="D111" i="8"/>
  <c r="AA122" i="8"/>
  <c r="AA123" i="8" s="1"/>
  <c r="B120" i="8" s="1"/>
  <c r="F11" i="10" s="1"/>
  <c r="N111" i="8"/>
  <c r="H111" i="8"/>
  <c r="AH109" i="8"/>
  <c r="P111" i="8"/>
  <c r="L111" i="8"/>
  <c r="J111" i="8"/>
  <c r="B115" i="8"/>
  <c r="B114" i="8" s="1"/>
  <c r="F9" i="10" s="1"/>
  <c r="I111" i="8"/>
  <c r="Q111" i="8"/>
  <c r="W111" i="8"/>
  <c r="M24" i="10" s="1"/>
  <c r="K111" i="8"/>
  <c r="M111" i="8"/>
  <c r="B111" i="8"/>
  <c r="O111" i="8"/>
  <c r="U111" i="8"/>
  <c r="S111" i="8"/>
  <c r="L24" i="10" s="1"/>
  <c r="G111" i="8"/>
  <c r="V111" i="8"/>
  <c r="E111" i="8"/>
  <c r="F111" i="8"/>
  <c r="R111" i="8"/>
  <c r="T111" i="8"/>
  <c r="X111" i="8"/>
  <c r="Y111" i="8"/>
  <c r="Z125" i="8"/>
  <c r="Z126" i="8" s="1"/>
  <c r="Z127" i="8" s="1"/>
  <c r="AA93" i="8"/>
  <c r="AA94" i="8" s="1"/>
  <c r="AA20" i="8" s="1"/>
  <c r="AA21" i="8" s="1"/>
  <c r="AA23" i="8" s="1"/>
  <c r="AA39" i="8" s="1"/>
  <c r="Z20" i="8"/>
  <c r="Z21" i="8" s="1"/>
  <c r="Z23" i="8" s="1"/>
  <c r="Z39" i="8" s="1"/>
  <c r="AA126" i="8" l="1"/>
  <c r="AA127" i="8" s="1"/>
  <c r="B124" i="8" s="1"/>
  <c r="F12" i="10" s="1"/>
  <c r="G129" i="8"/>
  <c r="G130" i="8"/>
  <c r="I24" i="10"/>
  <c r="M129" i="8"/>
  <c r="M130" i="8"/>
  <c r="J129" i="8"/>
  <c r="J130" i="8"/>
  <c r="N130" i="8"/>
  <c r="N129" i="8"/>
  <c r="L129" i="8"/>
  <c r="L130" i="8"/>
  <c r="D130" i="8"/>
  <c r="D129" i="8"/>
  <c r="P130" i="8"/>
  <c r="P129" i="8"/>
  <c r="F129" i="8"/>
  <c r="F130" i="8"/>
  <c r="Q130" i="8"/>
  <c r="Q129" i="8"/>
  <c r="F15" i="10" s="1"/>
  <c r="Q135" i="8"/>
  <c r="B204" i="10"/>
  <c r="E204" i="10" s="1"/>
  <c r="J24" i="10"/>
  <c r="K130" i="8"/>
  <c r="K129" i="8"/>
  <c r="E130" i="8"/>
  <c r="E129" i="8"/>
  <c r="O130" i="8"/>
  <c r="O129" i="8"/>
  <c r="K24" i="10"/>
  <c r="I129" i="8"/>
  <c r="I130" i="8"/>
  <c r="H129" i="8"/>
  <c r="H130" i="8"/>
  <c r="B133" i="8" l="1"/>
  <c r="F14" i="10" s="1"/>
  <c r="B132" i="8"/>
  <c r="F13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tc={003A0058-0054-4D5E-8DF1-0018008F00AF}</author>
    <author>tc={00B00002-0039-4A15-B989-008F0056009B}</author>
  </authors>
  <commentList>
    <comment ref="C79" authorId="0" shapeId="0" xr:uid="{003A0058-0054-4D5E-8DF1-0018008F00AF}">
      <text>
        <r>
          <rPr>
            <b/>
            <sz val="9"/>
            <rFont val="Tahoma"/>
          </rPr>
          <t>aes:</t>
        </r>
        <r>
          <rPr>
            <sz val="9"/>
            <rFont val="Tahoma"/>
          </rPr>
          <t xml:space="preserve">
 площадь помещения в расчете на одно рабочее место для пользователей ПЭВМ с жидкокристаллическим экраном должна составлять не менее 4,5 кв. м (п. 3.4 СанПиН 2.2.2/2.4.1340-03)
Но обычно с учетом шкафов и пр. принимают 6 кв. метров на клерка.
</t>
        </r>
      </text>
    </comment>
    <comment ref="C80" authorId="1" shapeId="0" xr:uid="{00B00002-0039-4A15-B989-008F0056009B}">
      <text>
        <r>
          <rPr>
            <b/>
            <sz val="9"/>
            <rFont val="Tahoma"/>
          </rPr>
          <t>aes:</t>
        </r>
        <r>
          <rPr>
            <sz val="9"/>
            <rFont val="Tahoma"/>
          </rPr>
          <t xml:space="preserve">
http://www.mega-realty.ru/objects/73780.htm
</t>
        </r>
      </text>
    </comment>
  </commentList>
</comments>
</file>

<file path=xl/sharedStrings.xml><?xml version="1.0" encoding="utf-8"?>
<sst xmlns="http://schemas.openxmlformats.org/spreadsheetml/2006/main" count="906" uniqueCount="440">
  <si>
    <t>Титульный лист</t>
  </si>
  <si>
    <t>Листы</t>
  </si>
  <si>
    <t>Предположения</t>
  </si>
  <si>
    <t>Основные численные предположения, используемые в расчетах</t>
  </si>
  <si>
    <t>Выручка</t>
  </si>
  <si>
    <t>Расчет выручки от реализации продукции</t>
  </si>
  <si>
    <t>Себестоимость</t>
  </si>
  <si>
    <t>Расчет затрат компании</t>
  </si>
  <si>
    <t>Персонал</t>
  </si>
  <si>
    <t>Персонал и фонд оплаты труда</t>
  </si>
  <si>
    <t>Оборотный капитал</t>
  </si>
  <si>
    <t>Расчет изменений оборотного капитала компании</t>
  </si>
  <si>
    <t>Инвестиции</t>
  </si>
  <si>
    <t>Объем инвестиций по статьям инвестирования</t>
  </si>
  <si>
    <t>Финансовые результаты</t>
  </si>
  <si>
    <t>Финансовые результаты создаваемые проектом</t>
  </si>
  <si>
    <t xml:space="preserve"> - ячейки для ввода исходных данных/предположений</t>
  </si>
  <si>
    <t xml:space="preserve"> - исходные данные Инициатора проекта</t>
  </si>
  <si>
    <t>Основные предположения расчетов</t>
  </si>
  <si>
    <t>Показатель</t>
  </si>
  <si>
    <t>Ед. изм.</t>
  </si>
  <si>
    <t>1 кв. 2024</t>
  </si>
  <si>
    <t>2 кв. 2024</t>
  </si>
  <si>
    <t>3 кв. 2024</t>
  </si>
  <si>
    <t>4 кв. 2024</t>
  </si>
  <si>
    <t>1 кв. 2025</t>
  </si>
  <si>
    <t>2 кв. 2025</t>
  </si>
  <si>
    <t>3 кв. 2025</t>
  </si>
  <si>
    <t>4 кв. 2025</t>
  </si>
  <si>
    <t>1 кв. 2026</t>
  </si>
  <si>
    <t>2 кв. 2026</t>
  </si>
  <si>
    <t>3 кв. 2026</t>
  </si>
  <si>
    <t>4 кв. 2026</t>
  </si>
  <si>
    <t>1 кв. 2027</t>
  </si>
  <si>
    <t>2 кв. 2027</t>
  </si>
  <si>
    <t>3 кв. 2027</t>
  </si>
  <si>
    <t>4 кв. 2027</t>
  </si>
  <si>
    <t>1 кв. 2028</t>
  </si>
  <si>
    <t>2 кв. 2028</t>
  </si>
  <si>
    <t>3 кв. 2028</t>
  </si>
  <si>
    <t>4 кв. 2028</t>
  </si>
  <si>
    <t>1 кв. 2029</t>
  </si>
  <si>
    <t>2 кв. 2029</t>
  </si>
  <si>
    <t>3 кв. 2029</t>
  </si>
  <si>
    <t>4 кв. 2029</t>
  </si>
  <si>
    <t>Источник</t>
  </si>
  <si>
    <t>Фактор времени</t>
  </si>
  <si>
    <t>Макроэкономические прогнозы</t>
  </si>
  <si>
    <t>Инфляция</t>
  </si>
  <si>
    <t>%</t>
  </si>
  <si>
    <t>Сценарные условия развития Минэкономразвития РФ</t>
  </si>
  <si>
    <t>Дефлятор цен</t>
  </si>
  <si>
    <t>Реальная заработная плата</t>
  </si>
  <si>
    <t>Параметры налоговой системы</t>
  </si>
  <si>
    <t>Ставка страховых взносов</t>
  </si>
  <si>
    <t>НК РФ</t>
  </si>
  <si>
    <t>Ставка налога на добавленную стоимость (НДС)</t>
  </si>
  <si>
    <t>Эффективная ставка налога на имущество</t>
  </si>
  <si>
    <t>Эффективная ставка налога на прибыль</t>
  </si>
  <si>
    <t>Ставка тарифа на обязательное страхование сотрудников от несчастных случаев и профессиональных заболеваний</t>
  </si>
  <si>
    <t>Инфляция рубля РФ</t>
  </si>
  <si>
    <t>Рост реальной з/пл</t>
  </si>
  <si>
    <t>Рост номинальной з/пл</t>
  </si>
  <si>
    <t>Предпосылки формирования выручки</t>
  </si>
  <si>
    <t>Плановый квартальный объем реализации</t>
  </si>
  <si>
    <t>XXX</t>
  </si>
  <si>
    <t>шт.</t>
  </si>
  <si>
    <t>Целевая загрузка производственных мощностей</t>
  </si>
  <si>
    <t>Базовая цена (с НДС)</t>
  </si>
  <si>
    <t>руб./шт.</t>
  </si>
  <si>
    <t>данные Инициатора Проекта</t>
  </si>
  <si>
    <t>Скидка от цены для демонстрационных образцов</t>
  </si>
  <si>
    <t>Предпосылки себестоимости</t>
  </si>
  <si>
    <t>Стоимость комплектующих с НДС</t>
  </si>
  <si>
    <t xml:space="preserve"> - комплектующие (контроллер, USB-стик)</t>
  </si>
  <si>
    <t xml:space="preserve"> - упаковка</t>
  </si>
  <si>
    <t>Годовые затраты на лицензию ПО</t>
  </si>
  <si>
    <t>тыс. руб./год</t>
  </si>
  <si>
    <t>Заработная плата</t>
  </si>
  <si>
    <t>Численность</t>
  </si>
  <si>
    <t>З/П</t>
  </si>
  <si>
    <t>Генеральный директор</t>
  </si>
  <si>
    <t>чел, руб./мес.</t>
  </si>
  <si>
    <t>Директор по продажам</t>
  </si>
  <si>
    <t>Директор ОТП</t>
  </si>
  <si>
    <t>Директор по развитию</t>
  </si>
  <si>
    <t>IT- специалисты</t>
  </si>
  <si>
    <t xml:space="preserve">Специалисты отдела технической поддержки и обучения </t>
  </si>
  <si>
    <t xml:space="preserve">Менеджеры по продажам </t>
  </si>
  <si>
    <t xml:space="preserve">Документатор </t>
  </si>
  <si>
    <t>Бухгалтер</t>
  </si>
  <si>
    <t>Дизайнер</t>
  </si>
  <si>
    <t>Маркетолог</t>
  </si>
  <si>
    <t>Размер бонусного фонда (% от выручки)</t>
  </si>
  <si>
    <t>Затраты на логистику (% от затрат на компл. и  упаковку)</t>
  </si>
  <si>
    <t>Расходы на участие в конференциях и выставках</t>
  </si>
  <si>
    <t>тыс. руб.</t>
  </si>
  <si>
    <t>Прочий маркетинг</t>
  </si>
  <si>
    <t>Ежеквартальные затраты на командировки</t>
  </si>
  <si>
    <t>Прочие переменные затраты (% от выручки)</t>
  </si>
  <si>
    <t>Норматив площади офиса на сотрудника</t>
  </si>
  <si>
    <t>кв. м/чел.</t>
  </si>
  <si>
    <t>Годовая арендная ставка</t>
  </si>
  <si>
    <t>тыс. руб./кв. м</t>
  </si>
  <si>
    <t>Прочие административные расходы (% от выручки)</t>
  </si>
  <si>
    <t>Показатели оборачиваемости</t>
  </si>
  <si>
    <t>Запасы</t>
  </si>
  <si>
    <t>дней</t>
  </si>
  <si>
    <t>Данные http://www.damodaran.com для отрасли Electronics (Consumer &amp; Office) от 05.01.2014 г.</t>
  </si>
  <si>
    <t>Дебиторская задолженность</t>
  </si>
  <si>
    <t>Кредиторская задолженность</t>
  </si>
  <si>
    <t>Объем участия XXX (% от инвестиций)</t>
  </si>
  <si>
    <t>Целевая доля XXX</t>
  </si>
  <si>
    <t>Начальный размер уставного капитала</t>
  </si>
  <si>
    <t>Ставка дисконтирования</t>
  </si>
  <si>
    <t>Производственный план</t>
  </si>
  <si>
    <t>Производство продукции</t>
  </si>
  <si>
    <t>Уровень выхода на запланированный объем реализации</t>
  </si>
  <si>
    <t>Объем реализации</t>
  </si>
  <si>
    <t>демонстрационные образцы</t>
  </si>
  <si>
    <t>Итого объем реализации продукции</t>
  </si>
  <si>
    <t>Цены реализации</t>
  </si>
  <si>
    <t>Средняя цена реализации</t>
  </si>
  <si>
    <t>Итого выручка от реализации</t>
  </si>
  <si>
    <t>Расчет себестоимости</t>
  </si>
  <si>
    <t>Темп роста цен затрат</t>
  </si>
  <si>
    <t>Темп роста цен затрат (накопленный)</t>
  </si>
  <si>
    <t>Себестоимость продукции</t>
  </si>
  <si>
    <t>Затраты на производство</t>
  </si>
  <si>
    <t>Объем производства</t>
  </si>
  <si>
    <t>Итого объем производства</t>
  </si>
  <si>
    <t>Цены на комплектующие и упаковку</t>
  </si>
  <si>
    <t>Средняя цена комплектующих и упаковки</t>
  </si>
  <si>
    <t>Затраты на комплектующие и упаковку</t>
  </si>
  <si>
    <t>Итого затраты на комплектующие и упаковку</t>
  </si>
  <si>
    <t>Затраты на лицензии ПО</t>
  </si>
  <si>
    <t>Затраты на логистику</t>
  </si>
  <si>
    <t>Затраты на производственный персонал</t>
  </si>
  <si>
    <t>Прочие переменные затраты</t>
  </si>
  <si>
    <t>Итого себестоимость</t>
  </si>
  <si>
    <t>Коммерческие затраты</t>
  </si>
  <si>
    <t>Командировки</t>
  </si>
  <si>
    <t>Затраты на коммерческий персонал</t>
  </si>
  <si>
    <t>Расходы на маркетинг</t>
  </si>
  <si>
    <t>Итого коммерческие затраты</t>
  </si>
  <si>
    <t>Административные затраты</t>
  </si>
  <si>
    <t>Затраты на административный персонал</t>
  </si>
  <si>
    <t>Бонусы по итогам года</t>
  </si>
  <si>
    <t>Налог на имущество</t>
  </si>
  <si>
    <t>Аренда офиса</t>
  </si>
  <si>
    <t>Площадь офиса</t>
  </si>
  <si>
    <t>кв. м</t>
  </si>
  <si>
    <t>Прочие административные расходы</t>
  </si>
  <si>
    <t>Итого административные затраты</t>
  </si>
  <si>
    <t>Итого затраты проекта</t>
  </si>
  <si>
    <t>Расходы облагаемые НДС</t>
  </si>
  <si>
    <t>Персонал и ФОТ</t>
  </si>
  <si>
    <t>Номинальный темп роста зп</t>
  </si>
  <si>
    <t>Численность сотрудников</t>
  </si>
  <si>
    <t>чел.</t>
  </si>
  <si>
    <t>Итого численность сотрудников</t>
  </si>
  <si>
    <t>руб./мес.</t>
  </si>
  <si>
    <t>Средняя заработная плата</t>
  </si>
  <si>
    <t>Итого затраты на заработную плату</t>
  </si>
  <si>
    <t xml:space="preserve"> - производственный персонал</t>
  </si>
  <si>
    <t xml:space="preserve"> - административный персонал</t>
  </si>
  <si>
    <t xml:space="preserve"> - коммерческий персонал</t>
  </si>
  <si>
    <t>Страховые взносы</t>
  </si>
  <si>
    <t>Итого ФОТ</t>
  </si>
  <si>
    <t>Инвестиции в основные средства</t>
  </si>
  <si>
    <t>Количество серверов</t>
  </si>
  <si>
    <t>Количество системных блоков</t>
  </si>
  <si>
    <t>Количество мониторов</t>
  </si>
  <si>
    <t>Столы</t>
  </si>
  <si>
    <t>Кресла</t>
  </si>
  <si>
    <t>Стулья</t>
  </si>
  <si>
    <t>Офисный телефон</t>
  </si>
  <si>
    <t>МФУ</t>
  </si>
  <si>
    <t>Wi-Fi роутер</t>
  </si>
  <si>
    <t>Сейф</t>
  </si>
  <si>
    <t>Кулер для воды</t>
  </si>
  <si>
    <t>Стоимость сервера</t>
  </si>
  <si>
    <t>Стоимость системных блоков</t>
  </si>
  <si>
    <t>Стоимость мониторов</t>
  </si>
  <si>
    <t>Итого инвестиции в ОС</t>
  </si>
  <si>
    <t>НДС</t>
  </si>
  <si>
    <t>Ставка амортизации для серверов</t>
  </si>
  <si>
    <t>Ставка амортизации для компьютеров</t>
  </si>
  <si>
    <t>Амортизация ОС</t>
  </si>
  <si>
    <t>ОС на балансе</t>
  </si>
  <si>
    <t>Инвестиции в оборотный капитал</t>
  </si>
  <si>
    <t>Затраты на персонал</t>
  </si>
  <si>
    <t>Итого инвестиции в оборотный капитал</t>
  </si>
  <si>
    <t>Распределение инвестиций</t>
  </si>
  <si>
    <t>Частный инвестор</t>
  </si>
  <si>
    <t>Итого инвестиции в проекта</t>
  </si>
  <si>
    <t>Распределение долей участия</t>
  </si>
  <si>
    <t>Денежные взносы</t>
  </si>
  <si>
    <t>Итого денежные взносы</t>
  </si>
  <si>
    <t>Неденежные взносы</t>
  </si>
  <si>
    <t>Итого неденежные взносы</t>
  </si>
  <si>
    <t>Итоговые взносы участников</t>
  </si>
  <si>
    <t>Итого взносы</t>
  </si>
  <si>
    <t>Целевые доли участия</t>
  </si>
  <si>
    <t xml:space="preserve">Проверка </t>
  </si>
  <si>
    <t>Участие в УК</t>
  </si>
  <si>
    <t>Итого уставной капитал</t>
  </si>
  <si>
    <t>Взносы в УК и добавочный капитал</t>
  </si>
  <si>
    <t>Объем денежных взносов</t>
  </si>
  <si>
    <t>Величина уставного капитала</t>
  </si>
  <si>
    <t>Итого добавочный капитал</t>
  </si>
  <si>
    <t>Расчет собственного оборотного капитала</t>
  </si>
  <si>
    <t>Оборачиваемость</t>
  </si>
  <si>
    <t>Итого дебиторская задолженность</t>
  </si>
  <si>
    <t>Итого кредиторская задолженность</t>
  </si>
  <si>
    <t>НДС по операционной деятельности</t>
  </si>
  <si>
    <t>НДС по выручке</t>
  </si>
  <si>
    <t>НДС по затратам</t>
  </si>
  <si>
    <t>Сальдо</t>
  </si>
  <si>
    <t>НДС к уплате</t>
  </si>
  <si>
    <t>Уплата НДС</t>
  </si>
  <si>
    <t>Денежный поток по НДС</t>
  </si>
  <si>
    <t>Итого НДС по операционной деятельности на конец периода</t>
  </si>
  <si>
    <t>НДС по приобретенным ценностям</t>
  </si>
  <si>
    <t>НДС уплаченный</t>
  </si>
  <si>
    <t>Возмещение НДС</t>
  </si>
  <si>
    <t>НДС на конец периода</t>
  </si>
  <si>
    <t>Итого собственный оборотный капитал</t>
  </si>
  <si>
    <t>Изменение собственного оборотного капитала</t>
  </si>
  <si>
    <t>Финансовые результаты деятельности</t>
  </si>
  <si>
    <t>Баланс</t>
  </si>
  <si>
    <t>Активы</t>
  </si>
  <si>
    <t>Внеоборотные активы</t>
  </si>
  <si>
    <t>Основные средства</t>
  </si>
  <si>
    <t>Незавершенное строительство</t>
  </si>
  <si>
    <t>Отложенные налоговые активы</t>
  </si>
  <si>
    <t>Итого внеоборотные активы</t>
  </si>
  <si>
    <t>Оборотные активы</t>
  </si>
  <si>
    <t>Денежные средства</t>
  </si>
  <si>
    <t>Итого оборотные активы</t>
  </si>
  <si>
    <t>ИТОГО АКТИВЫ</t>
  </si>
  <si>
    <t>Пассивы</t>
  </si>
  <si>
    <t>Капитал и резервы</t>
  </si>
  <si>
    <t>Уставный капитал</t>
  </si>
  <si>
    <t>Добавочный капитал</t>
  </si>
  <si>
    <t>Нераспределенная прибыль</t>
  </si>
  <si>
    <t>Нераспределенная прибыль текущего года</t>
  </si>
  <si>
    <t>Итого капитал и резервы</t>
  </si>
  <si>
    <t>Обязательства</t>
  </si>
  <si>
    <t>Займы и кредиты</t>
  </si>
  <si>
    <t>Итого обязательства</t>
  </si>
  <si>
    <t>ИТОГО ПАССИВЫ</t>
  </si>
  <si>
    <t>Проверка баланса</t>
  </si>
  <si>
    <t>Отчет о прибылях и убытках</t>
  </si>
  <si>
    <t>Валовая прибыль</t>
  </si>
  <si>
    <t>Рентабельность по валовой прибыли</t>
  </si>
  <si>
    <t>Административные расходы</t>
  </si>
  <si>
    <t>Коммерческие расходы</t>
  </si>
  <si>
    <t>EBITDA</t>
  </si>
  <si>
    <t>EBITDA margin</t>
  </si>
  <si>
    <t>Амортизация</t>
  </si>
  <si>
    <t>EBIT</t>
  </si>
  <si>
    <t>Проценты к уплате</t>
  </si>
  <si>
    <t>Прибыль до уплаты налогов</t>
  </si>
  <si>
    <t>Накопленный убыток прошлых лет</t>
  </si>
  <si>
    <t>Использование ОНА</t>
  </si>
  <si>
    <t>Текущий налог на прибыль</t>
  </si>
  <si>
    <t>Чистая прибыль</t>
  </si>
  <si>
    <t>Рентабельность чистой прибыли</t>
  </si>
  <si>
    <t>Эффективный налог на прибыль</t>
  </si>
  <si>
    <t>Движение денежных средств</t>
  </si>
  <si>
    <t>Операционный денежный поток</t>
  </si>
  <si>
    <t>Уменьшение (увеличение) оборотного капитала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</si>
  <si>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</si>
  <si>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</si>
  <si>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</si>
  <si>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</si>
  <si>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Получение (возврат) кредитов</t>
  </si>
  <si>
    <t>Взосы в добавочный капитал</t>
  </si>
  <si>
    <t>Увеличение капитала денежными средствами</t>
  </si>
  <si>
    <t>Итого финансовый денежный поток</t>
  </si>
  <si>
    <t>Чистый денежный поток</t>
  </si>
  <si>
    <t>Денежные средства на начало периода</t>
  </si>
  <si>
    <t>Денежные средства на конец периода</t>
  </si>
  <si>
    <t>DCF</t>
  </si>
  <si>
    <t>Терминальная стоимость</t>
  </si>
  <si>
    <t>NOPLAT</t>
  </si>
  <si>
    <t>(+) амортизация</t>
  </si>
  <si>
    <t>(-) изменение СОК</t>
  </si>
  <si>
    <t>(-) Капитальные вложения</t>
  </si>
  <si>
    <t>FCFF</t>
  </si>
  <si>
    <t>Темп роста заключительного потока</t>
  </si>
  <si>
    <t>х</t>
  </si>
  <si>
    <t>Дисконт-фактор по годам</t>
  </si>
  <si>
    <t>Итоговый дисконт-фактор</t>
  </si>
  <si>
    <t>Дисконтированный денежный поток</t>
  </si>
  <si>
    <t>Рыночная стоимость инвестированного капитала, тыс. руб.</t>
  </si>
  <si>
    <t>Показатели эффективности Проекта</t>
  </si>
  <si>
    <t>NPV Проекта</t>
  </si>
  <si>
    <t>NPV на период прогнозирования</t>
  </si>
  <si>
    <t xml:space="preserve">NPV на терминальный период </t>
  </si>
  <si>
    <t>IRR Проекта, годовых</t>
  </si>
  <si>
    <t>PBP, лет</t>
  </si>
  <si>
    <t>FCFF нарастающим итогом</t>
  </si>
  <si>
    <t>DPBP, лет</t>
  </si>
  <si>
    <t>Дисконтированный дененжный поток</t>
  </si>
  <si>
    <t>Дисконтированный дененжный поток нарастающим итогом</t>
  </si>
  <si>
    <t>EV/Sales</t>
  </si>
  <si>
    <t>EV/EBITDA</t>
  </si>
  <si>
    <t>IRR XXX, годовых</t>
  </si>
  <si>
    <t>ROI XXX</t>
  </si>
  <si>
    <t>Денежный поток инвестора</t>
  </si>
  <si>
    <t>Бизнес-план ООО "Инновационная компания"</t>
  </si>
  <si>
    <t>План-график запуска проекта в 2012 финансовом году (все значения с НДС)</t>
  </si>
  <si>
    <t>техническая строка</t>
  </si>
  <si>
    <t>-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</si>
  <si>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</si>
  <si>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</si>
  <si>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</si>
  <si>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</si>
  <si>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</si>
  <si>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</si>
  <si>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</si>
  <si>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</si>
  <si>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</si>
  <si>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</si>
  <si>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</si>
  <si>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</si>
  <si>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Примечание</t>
  </si>
  <si>
    <t>Инвестиции в нематериальные активы</t>
  </si>
  <si>
    <t>Международное патентование</t>
  </si>
  <si>
    <t>Покупка и доставка оборудования, мебели и оргтехники</t>
  </si>
  <si>
    <t>Оборудование</t>
  </si>
  <si>
    <t>Мебель и оргтехника</t>
  </si>
  <si>
    <t>Административно-управленческий персонал</t>
  </si>
  <si>
    <t>Отдел продаж</t>
  </si>
  <si>
    <t>Производственный персонал</t>
  </si>
  <si>
    <t>Операционная деятельность</t>
  </si>
  <si>
    <t>Операционные и коммерческие расходы</t>
  </si>
  <si>
    <t>Продажи</t>
  </si>
  <si>
    <t>Общая потребность в финансировании</t>
  </si>
  <si>
    <t>Начало производства и продаж</t>
  </si>
  <si>
    <t>Операционные расходы</t>
  </si>
  <si>
    <t>Прочее</t>
  </si>
  <si>
    <t>Возобновление основных фондов</t>
  </si>
  <si>
    <t>Налог на прибыль</t>
  </si>
  <si>
    <t>Пополнение запаса денежных средств</t>
  </si>
  <si>
    <t>Собственные источники финансирования</t>
  </si>
  <si>
    <t>Поступления от продаж продукции</t>
  </si>
  <si>
    <t>Нерасходованный остаток собственных средств</t>
  </si>
  <si>
    <t>Потребность в привлечении финансирования в первый год</t>
  </si>
  <si>
    <t>Справочно: денежные средства</t>
  </si>
  <si>
    <t>Прочие параметры</t>
  </si>
  <si>
    <t>Ввод основных средств</t>
  </si>
  <si>
    <t>Выручка проекта</t>
  </si>
  <si>
    <t>Спарвка</t>
  </si>
  <si>
    <t>NPV&gt;0</t>
  </si>
  <si>
    <t>NPV — это чистый доход, который получит предприниматель за определенный срок</t>
  </si>
  <si>
    <t>30%&gt;IRR&gt;60%</t>
  </si>
  <si>
    <t>IRR — доходность инвестиционной программы</t>
  </si>
  <si>
    <t>1,5&gt;PBP&gt;2,5</t>
  </si>
  <si>
    <t>PBP — Период окупаемости проекта</t>
  </si>
  <si>
    <t>2,0&gt;PBP&gt;3,0</t>
  </si>
  <si>
    <t>DPBP — Дисконтированный срок окупаемости</t>
  </si>
  <si>
    <t xml:space="preserve">IRR XXX — доходность инвестора      </t>
  </si>
  <si>
    <t>ROI&gt;100%</t>
  </si>
  <si>
    <t>ROI — это коэффициент рентабельности вложений</t>
  </si>
  <si>
    <t>1&gt;EV/Sales&gt;3</t>
  </si>
  <si>
    <t>EV/Sales — Показывае, сколько годовых выручек стоит компания</t>
  </si>
  <si>
    <t>Стоимость проекта</t>
  </si>
  <si>
    <t>Наименование</t>
  </si>
  <si>
    <t>Итого инвестиционные затраты</t>
  </si>
  <si>
    <t>Затраты на орг. технику и мебель</t>
  </si>
  <si>
    <t>Наименование участника</t>
  </si>
  <si>
    <t>Объем инвестиций, тыс. руб.</t>
  </si>
  <si>
    <t>Доля в УК проекта, %</t>
  </si>
  <si>
    <t>Инициатор проекта</t>
  </si>
  <si>
    <t>Итого</t>
  </si>
  <si>
    <t>объем производства</t>
  </si>
  <si>
    <t>Наименование должности</t>
  </si>
  <si>
    <t>Базовая заработная плата, руб./месю</t>
  </si>
  <si>
    <t>2 кв. 2014</t>
  </si>
  <si>
    <t>3 кв. 2014 и далее</t>
  </si>
  <si>
    <t>Административный персонал</t>
  </si>
  <si>
    <t>Коммерческий персонал</t>
  </si>
  <si>
    <t>Бонусы</t>
  </si>
  <si>
    <t>ФОТ</t>
  </si>
  <si>
    <t>Затраты на лицензию ПО</t>
  </si>
  <si>
    <t>Итого затраты</t>
  </si>
  <si>
    <t>Затраты проекта</t>
  </si>
  <si>
    <t>EBITDA margin, %</t>
  </si>
  <si>
    <t>Направление деяельности</t>
  </si>
  <si>
    <t>1 кв. 2014</t>
  </si>
  <si>
    <t>3 кв. 2014</t>
  </si>
  <si>
    <t>4 кв. 2014</t>
  </si>
  <si>
    <t>1 кв. 2015</t>
  </si>
  <si>
    <t>2 кв. 2015</t>
  </si>
  <si>
    <t>Расходование инвестиционных средств</t>
  </si>
  <si>
    <t>Найм персонала</t>
  </si>
  <si>
    <t>Закупка техники и мебели</t>
  </si>
  <si>
    <t>Доработка технологии</t>
  </si>
  <si>
    <t>Маркетинговая кампания</t>
  </si>
  <si>
    <t>Выпуск демонстрационных образцов</t>
  </si>
  <si>
    <t>Серийное производство</t>
  </si>
  <si>
    <t>Безубыточность проекта</t>
  </si>
  <si>
    <t>млн.руб.</t>
  </si>
  <si>
    <t>Оборот компании в последний год планирования (3  года)</t>
  </si>
  <si>
    <t>Стоимость компании на выходе</t>
  </si>
  <si>
    <t xml:space="preserve">Объем рынка «Интернет вещей» </t>
  </si>
  <si>
    <t>РФ</t>
  </si>
  <si>
    <t>Мир</t>
  </si>
  <si>
    <t xml:space="preserve">Мир </t>
  </si>
  <si>
    <t>год</t>
  </si>
  <si>
    <t>млн.$</t>
  </si>
  <si>
    <t>млрд.$</t>
  </si>
  <si>
    <t>млрд. шт</t>
  </si>
  <si>
    <t>2023</t>
  </si>
  <si>
    <t>2025</t>
  </si>
  <si>
    <t>2030</t>
  </si>
  <si>
    <t>Год</t>
  </si>
  <si>
    <t>РФ (в млн.$)</t>
  </si>
  <si>
    <t>Мир (в млрд.$)</t>
  </si>
  <si>
    <t>Мир (млрд. шт.)</t>
  </si>
  <si>
    <t>США, тенденции домашней автоматизации</t>
  </si>
  <si>
    <t>Управление внешними динамиками и аудиосистемами</t>
  </si>
  <si>
    <t xml:space="preserve">Системы повышения энергоэффективности </t>
  </si>
  <si>
    <t>Встроенная система удаления пыли</t>
  </si>
  <si>
    <t>Мультизональные системы вентиляции и кондиционирования</t>
  </si>
  <si>
    <t xml:space="preserve">Домашние кинотеатры </t>
  </si>
  <si>
    <t>Система управления освещением</t>
  </si>
  <si>
    <t>Домашние беспроводные аудиосистемы</t>
  </si>
  <si>
    <t>Камеры видеонаблюдения</t>
  </si>
  <si>
    <t>Программируемые термостаты</t>
  </si>
  <si>
    <t>Беспроводная система безопасности</t>
  </si>
  <si>
    <t>Бизнес-план проекта Indoor Air Technologies</t>
  </si>
  <si>
    <t>Приточный клапан</t>
  </si>
  <si>
    <t xml:space="preserve"> - комплектующие </t>
  </si>
  <si>
    <t>nanoCAD</t>
  </si>
  <si>
    <t>1C Бухгалтер</t>
  </si>
  <si>
    <t xml:space="preserve"> - упаковка, SMS-уведомления, доставка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</si>
</sst>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[$-419]dd\ mmm\ yy;@"/>
    <numFmt numFmtId="165" formatCode="_-* #,##0.00&quot;р.&quot;_-;\-* #,##0.00&quot;р.&quot;_-;_-* &quot;-&quot;??&quot;р.&quot;_-;_-@_-"/>
    <numFmt numFmtId="166" formatCode="0.0_)"/>
    <numFmt numFmtId="167" formatCode="&quot;error&quot;;&quot;error&quot;;&quot;OK&quot;;&quot;  &quot;@"/>
    <numFmt numFmtId="168" formatCode="#,##0_);\(#,##0\);&quot;- &quot;;&quot;  &quot;@"/>
    <numFmt numFmtId="169" formatCode="General_)"/>
    <numFmt numFmtId="170" formatCode="#,##0.0000_);\(#,##0.0000\);&quot;- &quot;;&quot;  &quot;@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&quot;$&quot;#,##0_);[Red]\(&quot;$&quot;#,##0\)"/>
    <numFmt numFmtId="174" formatCode="&quot;$&quot;#,##0.00_);[Red]\(&quot;$&quot;#,##0.00\)"/>
    <numFmt numFmtId="175" formatCode=";;&quot;zero&quot;;&quot;  &quot;@"/>
    <numFmt numFmtId="176" formatCode="_-* #,##0\ _р_._-;\-* #,##0\ _р_._-;_-* &quot;-&quot;\ _р_._-;_-@_-"/>
    <numFmt numFmtId="177" formatCode="_-* #,##0.00\ _р_._-;\-* #,##0.00\ _р_._-;_-* &quot;-&quot;??\ _р_._-;_-@_-"/>
    <numFmt numFmtId="178" formatCode="#,##0\ ;\(#,##0\);\-&quot; &quot;"/>
    <numFmt numFmtId="179" formatCode="#,##0.0\ ;\(#,##0.0\);\-&quot; &quot;"/>
    <numFmt numFmtId="180" formatCode="0.0%"/>
    <numFmt numFmtId="181" formatCode="#,##0.0"/>
    <numFmt numFmtId="182" formatCode="#,##0.00\ ;\(#,##0.00\);\-&quot; &quot;"/>
    <numFmt numFmtId="183" formatCode="#,##0.000\ ;\(#,##0.000\);\-&quot; &quot;"/>
    <numFmt numFmtId="184" formatCode="0.000%"/>
    <numFmt numFmtId="185" formatCode="0.0000%"/>
    <numFmt numFmtId="186" formatCode="0.0"/>
    <numFmt numFmtId="187" formatCode="0.000000%"/>
  </numFmts>
  <fonts count="89">
    <font>
      <sz val="10"/>
      <color theme="1"/>
      <name val="Arial"/>
    </font>
    <font>
      <sz val="10"/>
      <name val="Helv"/>
    </font>
    <font>
      <sz val="10"/>
      <name val="Arial"/>
    </font>
    <font>
      <sz val="1"/>
      <name val="Courier"/>
    </font>
    <font>
      <b/>
      <sz val="1"/>
      <name val="Courier"/>
    </font>
    <font>
      <sz val="11"/>
      <name val="Calibri"/>
    </font>
    <font>
      <sz val="11"/>
      <color indexed="65"/>
      <name val="Calibri"/>
    </font>
    <font>
      <sz val="10"/>
      <name val="Courier New"/>
    </font>
    <font>
      <sz val="9"/>
      <name val="Pragmatica"/>
    </font>
    <font>
      <sz val="11"/>
      <color indexed="20"/>
      <name val="Calibri"/>
    </font>
    <font>
      <b/>
      <sz val="11"/>
      <color indexed="52"/>
      <name val="Calibri"/>
    </font>
    <font>
      <sz val="10"/>
      <color indexed="4"/>
      <name val="Arial"/>
    </font>
    <font>
      <b/>
      <sz val="11"/>
      <color indexed="65"/>
      <name val="Calibri"/>
    </font>
    <font>
      <sz val="10"/>
      <color indexed="22"/>
      <name val="Arial"/>
    </font>
    <font>
      <b/>
      <sz val="10"/>
      <name val="Arial"/>
    </font>
    <font>
      <i/>
      <sz val="10"/>
      <name val="Arial"/>
    </font>
    <font>
      <sz val="10"/>
      <name val="MS Sans Serif"/>
    </font>
    <font>
      <sz val="10"/>
      <name val="Times New Roman CE"/>
    </font>
    <font>
      <sz val="12"/>
      <name val="Times New Roman"/>
    </font>
    <font>
      <i/>
      <sz val="11"/>
      <color indexed="23"/>
      <name val="Calibri"/>
    </font>
    <font>
      <sz val="11"/>
      <color indexed="17"/>
      <name val="Calibri"/>
    </font>
    <font>
      <sz val="8"/>
      <name val="Arial"/>
    </font>
    <font>
      <b/>
      <sz val="12"/>
      <name val="Arial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sz val="18"/>
      <name val="Times New Roman"/>
    </font>
    <font>
      <b/>
      <sz val="13"/>
      <name val="Times New Roman"/>
    </font>
    <font>
      <b/>
      <i/>
      <sz val="12"/>
      <name val="Times New Roman"/>
    </font>
    <font>
      <i/>
      <sz val="12"/>
      <name val="Times New Roman"/>
    </font>
    <font>
      <sz val="11"/>
      <name val="Times New Roman"/>
    </font>
    <font>
      <sz val="11"/>
      <color indexed="52"/>
      <name val="Calibri"/>
    </font>
    <font>
      <sz val="11"/>
      <color indexed="60"/>
      <name val="Calibri"/>
    </font>
    <font>
      <sz val="8"/>
      <name val="Helv"/>
    </font>
    <font>
      <sz val="10"/>
      <name val="Arial CE"/>
    </font>
    <font>
      <sz val="8"/>
      <name val="Arial CE"/>
    </font>
    <font>
      <b/>
      <sz val="11"/>
      <color indexed="63"/>
      <name val="Calibri"/>
    </font>
    <font>
      <sz val="10"/>
      <name val="Courier"/>
    </font>
    <font>
      <b/>
      <sz val="18"/>
      <color indexed="56"/>
      <name val="Cambria"/>
    </font>
    <font>
      <sz val="10"/>
      <color indexed="2"/>
      <name val="Arial"/>
    </font>
    <font>
      <b/>
      <sz val="11"/>
      <name val="Calibri"/>
    </font>
    <font>
      <sz val="11"/>
      <color indexed="2"/>
      <name val="Calibri"/>
    </font>
    <font>
      <sz val="10"/>
      <name val="Arial Cyr"/>
    </font>
    <font>
      <u/>
      <sz val="10"/>
      <color indexed="4"/>
      <name val="Arial Cyr"/>
    </font>
    <font>
      <b/>
      <sz val="10"/>
      <color indexed="4"/>
      <name val="Arial Cyr"/>
    </font>
    <font>
      <sz val="11"/>
      <color theme="1"/>
      <name val="Arial"/>
      <scheme val="minor"/>
    </font>
    <font>
      <sz val="9"/>
      <name val="Tahoma"/>
    </font>
    <font>
      <sz val="8"/>
      <color theme="1"/>
      <name val="Arial"/>
      <scheme val="minor"/>
    </font>
    <font>
      <b/>
      <sz val="8"/>
      <color rgb="FF881935"/>
      <name val="Arial"/>
      <scheme val="minor"/>
    </font>
    <font>
      <b/>
      <sz val="8"/>
      <color theme="1"/>
      <name val="Arial"/>
      <scheme val="minor"/>
    </font>
    <font>
      <u/>
      <sz val="8"/>
      <color indexed="4"/>
      <name val="Arial Cyr"/>
    </font>
    <font>
      <sz val="10"/>
      <color theme="1"/>
      <name val="Arial"/>
      <scheme val="minor"/>
    </font>
    <font>
      <i/>
      <sz val="10"/>
      <color theme="1"/>
      <name val="Arial"/>
      <scheme val="minor"/>
    </font>
    <font>
      <b/>
      <sz val="10"/>
      <color rgb="FF881935"/>
      <name val="Arial"/>
      <scheme val="minor"/>
    </font>
    <font>
      <b/>
      <sz val="10"/>
      <color theme="1"/>
      <name val="Arial"/>
      <scheme val="minor"/>
    </font>
    <font>
      <b/>
      <sz val="10"/>
      <color indexed="65"/>
      <name val="Arial"/>
      <scheme val="minor"/>
    </font>
    <font>
      <b/>
      <sz val="10"/>
      <color theme="0"/>
      <name val="Arial"/>
    </font>
    <font>
      <sz val="11"/>
      <name val="Arial"/>
    </font>
    <font>
      <b/>
      <sz val="10"/>
      <color indexed="65"/>
      <name val="Calibri"/>
    </font>
    <font>
      <i/>
      <sz val="11"/>
      <name val="Arial"/>
    </font>
    <font>
      <sz val="10"/>
      <color theme="2" tint="-0.499984740745262"/>
      <name val="Arial"/>
    </font>
    <font>
      <i/>
      <sz val="10"/>
      <color theme="1"/>
      <name val="Arial"/>
    </font>
    <font>
      <i/>
      <sz val="10"/>
      <color theme="0" tint="-0.14999847407452621"/>
      <name val="Arial"/>
      <scheme val="minor"/>
    </font>
    <font>
      <i/>
      <sz val="10"/>
      <color theme="2" tint="-9.9978637043366805E-2"/>
      <name val="Arial"/>
      <scheme val="minor"/>
    </font>
    <font>
      <sz val="10"/>
      <color theme="2" tint="-9.9978637043366805E-2"/>
      <name val="Arial"/>
      <scheme val="minor"/>
    </font>
    <font>
      <i/>
      <sz val="10"/>
      <color theme="0" tint="-0.14999847407452621"/>
      <name val="Arial"/>
    </font>
    <font>
      <i/>
      <sz val="10"/>
      <color rgb="FFC00000"/>
      <name val="Arial"/>
    </font>
    <font>
      <i/>
      <sz val="10"/>
      <color theme="8"/>
      <name val="Arial"/>
    </font>
    <font>
      <sz val="10"/>
      <color theme="2" tint="-0.249977111117893"/>
      <name val="Arial"/>
    </font>
    <font>
      <b/>
      <sz val="10"/>
      <color theme="1"/>
      <name val="Arial"/>
    </font>
    <font>
      <b/>
      <sz val="10"/>
      <color theme="2" tint="-0.249977111117893"/>
      <name val="Arial"/>
    </font>
    <font>
      <b/>
      <sz val="14"/>
      <color rgb="FF881935"/>
      <name val="Arial"/>
      <scheme val="minor"/>
    </font>
    <font>
      <b/>
      <sz val="12"/>
      <color theme="1"/>
      <name val="Arial"/>
      <scheme val="minor"/>
    </font>
    <font>
      <b/>
      <i/>
      <sz val="10"/>
      <color indexed="65"/>
      <name val="Arial"/>
      <scheme val="minor"/>
    </font>
    <font>
      <b/>
      <i/>
      <sz val="10"/>
      <color indexed="65"/>
      <name val="Calibri"/>
    </font>
    <font>
      <b/>
      <sz val="10"/>
      <name val="Calibri"/>
    </font>
    <font>
      <b/>
      <i/>
      <sz val="10"/>
      <name val="Calibri"/>
    </font>
    <font>
      <sz val="1"/>
      <color theme="1"/>
      <name val="Arial"/>
      <scheme val="minor"/>
    </font>
    <font>
      <i/>
      <sz val="10"/>
      <color indexed="65"/>
      <name val="Calibri"/>
    </font>
    <font>
      <i/>
      <sz val="9"/>
      <color theme="0" tint="-0.14999847407452621"/>
      <name val="Arial"/>
      <scheme val="minor"/>
    </font>
    <font>
      <b/>
      <sz val="8"/>
      <color indexed="65"/>
      <name val="Arial"/>
      <scheme val="minor"/>
    </font>
    <font>
      <sz val="10"/>
      <color theme="1"/>
      <name val="Arial"/>
    </font>
    <font>
      <b/>
      <sz val="9"/>
      <name val="Tahoma"/>
    </font>
    <font>
      <sz val="10"/>
      <color theme="1"/>
      <name val="Arial"/>
      <family val="2"/>
      <charset val="204"/>
      <scheme val="minor"/>
    </font>
    <font>
      <b/>
      <sz val="10"/>
      <color indexed="65"/>
      <name val="Calibri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2" tint="-0.499984740745262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6"/>
        <bgColor indexed="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rgb="FFE4E2DD"/>
        <bgColor rgb="FFE4E2DD"/>
      </patternFill>
    </fill>
    <fill>
      <patternFill patternType="solid">
        <fgColor theme="7" tint="0.89999084444715716"/>
        <bgColor theme="7" tint="0.89999084444715716"/>
      </patternFill>
    </fill>
    <fill>
      <patternFill patternType="solid">
        <fgColor theme="7" tint="0.749992370372631"/>
        <bgColor theme="7" tint="0.749992370372631"/>
      </patternFill>
    </fill>
    <fill>
      <patternFill patternType="solid">
        <fgColor theme="0"/>
        <bgColor theme="0"/>
      </patternFill>
    </fill>
    <fill>
      <patternFill patternType="solid">
        <fgColor rgb="FF881935"/>
        <bgColor rgb="FF881935"/>
      </patternFill>
    </fill>
    <fill>
      <patternFill patternType="solid">
        <fgColor theme="3"/>
        <bgColor theme="3"/>
      </patternFill>
    </fill>
    <fill>
      <patternFill patternType="solid">
        <fgColor indexed="23"/>
        <bgColor indexed="23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theme="7" tint="0.499984740745262"/>
        <bgColor theme="7" tint="0.499984740745262"/>
      </patternFill>
    </fill>
    <fill>
      <patternFill patternType="solid">
        <fgColor theme="0"/>
        <bgColor theme="7" tint="0.749992370372631"/>
      </patternFill>
    </fill>
    <fill>
      <patternFill patternType="solid">
        <fgColor theme="0"/>
        <bgColor theme="7" tint="0.89999084444715716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/>
      <top style="hair">
        <color auto="1"/>
      </top>
      <bottom style="hair">
        <color indexed="65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thin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54">
    <xf numFmtId="164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5" fontId="3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164" fontId="2" fillId="0" borderId="0"/>
    <xf numFmtId="164" fontId="4" fillId="0" borderId="0">
      <protection locked="0"/>
    </xf>
    <xf numFmtId="164" fontId="4" fillId="0" borderId="0">
      <protection locked="0"/>
    </xf>
    <xf numFmtId="164" fontId="3" fillId="0" borderId="1">
      <protection locked="0"/>
    </xf>
    <xf numFmtId="164" fontId="5" fillId="2" borderId="0" applyNumberFormat="0" applyBorder="0" applyProtection="0"/>
    <xf numFmtId="164" fontId="5" fillId="3" borderId="0" applyNumberFormat="0" applyBorder="0" applyProtection="0"/>
    <xf numFmtId="164" fontId="5" fillId="4" borderId="0" applyNumberFormat="0" applyBorder="0" applyProtection="0"/>
    <xf numFmtId="164" fontId="5" fillId="5" borderId="0" applyNumberFormat="0" applyBorder="0" applyProtection="0"/>
    <xf numFmtId="164" fontId="5" fillId="6" borderId="0" applyNumberFormat="0" applyBorder="0" applyProtection="0"/>
    <xf numFmtId="164" fontId="5" fillId="7" borderId="0" applyNumberFormat="0" applyBorder="0" applyProtection="0"/>
    <xf numFmtId="164" fontId="5" fillId="8" borderId="0" applyNumberFormat="0" applyBorder="0" applyProtection="0"/>
    <xf numFmtId="164" fontId="5" fillId="9" borderId="0" applyNumberFormat="0" applyBorder="0" applyProtection="0"/>
    <xf numFmtId="164" fontId="5" fillId="10" borderId="0" applyNumberFormat="0" applyBorder="0" applyProtection="0"/>
    <xf numFmtId="164" fontId="5" fillId="5" borderId="0" applyNumberFormat="0" applyBorder="0" applyProtection="0"/>
    <xf numFmtId="164" fontId="5" fillId="8" borderId="0" applyNumberFormat="0" applyBorder="0" applyProtection="0"/>
    <xf numFmtId="164" fontId="5" fillId="11" borderId="0" applyNumberFormat="0" applyBorder="0" applyProtection="0"/>
    <xf numFmtId="164" fontId="6" fillId="12" borderId="0" applyNumberFormat="0" applyBorder="0" applyProtection="0"/>
    <xf numFmtId="164" fontId="6" fillId="9" borderId="0" applyNumberFormat="0" applyBorder="0" applyProtection="0"/>
    <xf numFmtId="164" fontId="6" fillId="10" borderId="0" applyNumberFormat="0" applyBorder="0" applyProtection="0"/>
    <xf numFmtId="164" fontId="6" fillId="13" borderId="0" applyNumberFormat="0" applyBorder="0" applyProtection="0"/>
    <xf numFmtId="164" fontId="6" fillId="14" borderId="0" applyNumberFormat="0" applyBorder="0" applyProtection="0"/>
    <xf numFmtId="164" fontId="6" fillId="15" borderId="0" applyNumberFormat="0" applyBorder="0" applyProtection="0"/>
    <xf numFmtId="164" fontId="6" fillId="16" borderId="0" applyNumberFormat="0" applyBorder="0" applyProtection="0"/>
    <xf numFmtId="164" fontId="6" fillId="17" borderId="0" applyNumberFormat="0" applyBorder="0" applyProtection="0"/>
    <xf numFmtId="164" fontId="6" fillId="18" borderId="0" applyNumberFormat="0" applyBorder="0" applyProtection="0"/>
    <xf numFmtId="164" fontId="6" fillId="13" borderId="0" applyNumberFormat="0" applyBorder="0" applyProtection="0"/>
    <xf numFmtId="164" fontId="6" fillId="14" borderId="0" applyNumberFormat="0" applyBorder="0" applyProtection="0"/>
    <xf numFmtId="164" fontId="6" fillId="19" borderId="0" applyNumberFormat="0" applyBorder="0" applyProtection="0"/>
    <xf numFmtId="166" fontId="7" fillId="0" borderId="0">
      <alignment horizontal="left"/>
    </xf>
    <xf numFmtId="164" fontId="8" fillId="0" borderId="0" applyFill="0" applyBorder="0" applyProtection="0">
      <alignment horizontal="left" vertical="top" wrapText="1"/>
    </xf>
    <xf numFmtId="164" fontId="9" fillId="3" borderId="0" applyNumberFormat="0" applyBorder="0" applyProtection="0"/>
    <xf numFmtId="164" fontId="10" fillId="20" borderId="2" applyNumberFormat="0" applyProtection="0"/>
    <xf numFmtId="164" fontId="11" fillId="0" borderId="0" applyNumberFormat="0" applyFill="0" applyBorder="0" applyProtection="0">
      <alignment horizontal="left" wrapText="1"/>
    </xf>
    <xf numFmtId="167" fontId="2" fillId="0" borderId="0" applyFont="0" applyFill="0" applyBorder="0" applyProtection="0"/>
    <xf numFmtId="164" fontId="12" fillId="21" borderId="3" applyNumberFormat="0" applyProtection="0"/>
    <xf numFmtId="3" fontId="13" fillId="0" borderId="0" applyFont="0" applyFill="0" applyBorder="0" applyProtection="0"/>
    <xf numFmtId="164" fontId="13" fillId="0" borderId="0" applyFont="0" applyFill="0" applyBorder="0" applyProtection="0"/>
    <xf numFmtId="168" fontId="14" fillId="22" borderId="0" applyNumberFormat="0" applyBorder="0" applyProtection="0"/>
    <xf numFmtId="169" fontId="15" fillId="0" borderId="0">
      <alignment horizontal="center"/>
    </xf>
    <xf numFmtId="38" fontId="16" fillId="0" borderId="0" applyFont="0" applyFill="0" applyBorder="0" applyProtection="0"/>
    <xf numFmtId="164" fontId="17" fillId="0" borderId="0" applyFont="0" applyFill="0" applyBorder="0" applyProtection="0"/>
    <xf numFmtId="164" fontId="18" fillId="0" borderId="0" applyFont="0" applyFill="0" applyBorder="0" applyProtection="0"/>
    <xf numFmtId="164" fontId="19" fillId="0" borderId="0" applyNumberFormat="0" applyFill="0" applyBorder="0" applyProtection="0"/>
    <xf numFmtId="170" fontId="2" fillId="0" borderId="0" applyFont="0" applyFill="0" applyBorder="0" applyProtection="0"/>
    <xf numFmtId="168" fontId="11" fillId="0" borderId="0" applyNumberFormat="0" applyFill="0" applyBorder="0" applyProtection="0"/>
    <xf numFmtId="164" fontId="20" fillId="4" borderId="0" applyNumberFormat="0" applyBorder="0" applyProtection="0"/>
    <xf numFmtId="38" fontId="21" fillId="20" borderId="0" applyNumberFormat="0" applyBorder="0" applyProtection="0"/>
    <xf numFmtId="164" fontId="22" fillId="0" borderId="4" applyNumberFormat="0" applyProtection="0">
      <alignment horizontal="left" vertical="center"/>
    </xf>
    <xf numFmtId="164" fontId="22" fillId="0" borderId="5">
      <alignment horizontal="left" vertical="center"/>
    </xf>
    <xf numFmtId="164" fontId="23" fillId="0" borderId="6" applyNumberFormat="0" applyFill="0" applyProtection="0"/>
    <xf numFmtId="164" fontId="24" fillId="0" borderId="7" applyNumberFormat="0" applyFill="0" applyProtection="0"/>
    <xf numFmtId="164" fontId="25" fillId="0" borderId="8" applyNumberFormat="0" applyFill="0" applyProtection="0"/>
    <xf numFmtId="164" fontId="25" fillId="0" borderId="0" applyNumberFormat="0" applyFill="0" applyBorder="0" applyProtection="0"/>
    <xf numFmtId="168" fontId="2" fillId="23" borderId="9" applyNumberFormat="0" applyFont="0">
      <protection locked="0"/>
    </xf>
    <xf numFmtId="10" fontId="21" fillId="24" borderId="9" applyNumberFormat="0" applyBorder="0" applyProtection="0"/>
    <xf numFmtId="164" fontId="2" fillId="23" borderId="9" applyNumberFormat="0" applyFont="0">
      <protection locked="0"/>
    </xf>
    <xf numFmtId="38" fontId="26" fillId="0" borderId="0"/>
    <xf numFmtId="38" fontId="27" fillId="0" borderId="0"/>
    <xf numFmtId="38" fontId="28" fillId="0" borderId="0"/>
    <xf numFmtId="38" fontId="29" fillId="0" borderId="0"/>
    <xf numFmtId="164" fontId="30" fillId="0" borderId="0"/>
    <xf numFmtId="164" fontId="30" fillId="0" borderId="0"/>
    <xf numFmtId="164" fontId="30" fillId="0" borderId="0"/>
    <xf numFmtId="164" fontId="31" fillId="0" borderId="10" applyNumberFormat="0" applyFill="0" applyProtection="0"/>
    <xf numFmtId="164" fontId="32" fillId="23" borderId="0" applyNumberFormat="0" applyBorder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33" fillId="0" borderId="0"/>
    <xf numFmtId="164" fontId="34" fillId="0" borderId="0"/>
    <xf numFmtId="164" fontId="35" fillId="0" borderId="0"/>
    <xf numFmtId="164" fontId="1" fillId="0" borderId="0"/>
    <xf numFmtId="164" fontId="5" fillId="24" borderId="11" applyNumberFormat="0" applyFont="0" applyProtection="0"/>
    <xf numFmtId="164" fontId="36" fillId="20" borderId="12" applyNumberFormat="0" applyProtection="0"/>
    <xf numFmtId="10" fontId="2" fillId="0" borderId="0" applyFont="0" applyFill="0" applyBorder="0" applyProtection="0"/>
    <xf numFmtId="164" fontId="33" fillId="0" borderId="0" applyNumberFormat="0">
      <alignment horizontal="left"/>
    </xf>
    <xf numFmtId="164" fontId="2" fillId="0" borderId="0"/>
    <xf numFmtId="164" fontId="37" fillId="0" borderId="0"/>
    <xf numFmtId="164" fontId="38" fillId="0" borderId="0" applyNumberFormat="0" applyFill="0" applyBorder="0" applyProtection="0"/>
    <xf numFmtId="168" fontId="39" fillId="0" borderId="0" applyNumberFormat="0" applyFill="0" applyBorder="0" applyProtection="0"/>
    <xf numFmtId="164" fontId="40" fillId="0" borderId="13" applyNumberFormat="0" applyFill="0" applyProtection="0"/>
    <xf numFmtId="171" fontId="2" fillId="0" borderId="0" applyFont="0" applyFill="0" applyBorder="0" applyProtection="0"/>
    <xf numFmtId="172" fontId="2" fillId="0" borderId="0" applyFont="0" applyFill="0" applyBorder="0" applyProtection="0"/>
    <xf numFmtId="173" fontId="16" fillId="0" borderId="0" applyFont="0" applyFill="0" applyBorder="0" applyProtection="0"/>
    <xf numFmtId="174" fontId="16" fillId="0" borderId="0" applyFont="0" applyFill="0" applyBorder="0" applyProtection="0"/>
    <xf numFmtId="164" fontId="41" fillId="0" borderId="0" applyNumberFormat="0" applyFill="0" applyBorder="0" applyProtection="0"/>
    <xf numFmtId="164" fontId="2" fillId="10" borderId="0" applyNumberFormat="0" applyBorder="0" applyProtection="0"/>
    <xf numFmtId="175" fontId="2" fillId="0" borderId="0" applyFont="0" applyFill="0" applyBorder="0" applyProtection="0"/>
    <xf numFmtId="169" fontId="42" fillId="0" borderId="14">
      <protection locked="0"/>
    </xf>
    <xf numFmtId="164" fontId="43" fillId="0" borderId="0" applyNumberFormat="0" applyFill="0" applyBorder="0" applyProtection="0">
      <alignment vertical="top"/>
      <protection locked="0"/>
    </xf>
    <xf numFmtId="165" fontId="42" fillId="0" borderId="0" applyFont="0" applyFill="0" applyBorder="0" applyProtection="0"/>
    <xf numFmtId="164" fontId="2" fillId="0" borderId="0"/>
    <xf numFmtId="169" fontId="44" fillId="6" borderId="14"/>
    <xf numFmtId="164" fontId="45" fillId="0" borderId="0"/>
    <xf numFmtId="0" fontId="45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5" fillId="0" borderId="0"/>
    <xf numFmtId="164" fontId="45" fillId="0" borderId="0"/>
    <xf numFmtId="164" fontId="42" fillId="0" borderId="0"/>
    <xf numFmtId="164" fontId="2" fillId="0" borderId="0"/>
    <xf numFmtId="164" fontId="2" fillId="0" borderId="0"/>
    <xf numFmtId="164" fontId="2" fillId="0" borderId="0"/>
    <xf numFmtId="164" fontId="45" fillId="0" borderId="0"/>
    <xf numFmtId="164" fontId="45" fillId="0" borderId="0"/>
    <xf numFmtId="164" fontId="45" fillId="0" borderId="0"/>
    <xf numFmtId="9" fontId="81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2" fillId="0" borderId="0" applyFont="0" applyFill="0" applyBorder="0" applyProtection="0"/>
    <xf numFmtId="9" fontId="2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164" fontId="1" fillId="0" borderId="0"/>
    <xf numFmtId="176" fontId="42" fillId="0" borderId="0" applyFont="0" applyFill="0" applyBorder="0" applyProtection="0"/>
    <xf numFmtId="177" fontId="42" fillId="0" borderId="0" applyFont="0" applyFill="0" applyBorder="0" applyProtection="0"/>
    <xf numFmtId="4" fontId="46" fillId="4" borderId="9" applyFont="0" applyBorder="0">
      <alignment horizontal="right"/>
    </xf>
    <xf numFmtId="165" fontId="3" fillId="0" borderId="0">
      <protection locked="0"/>
    </xf>
    <xf numFmtId="164" fontId="2" fillId="0" borderId="0"/>
  </cellStyleXfs>
  <cellXfs count="199">
    <xf numFmtId="164" fontId="0" fillId="0" borderId="0" xfId="0" applyNumberFormat="1"/>
    <xf numFmtId="164" fontId="47" fillId="0" borderId="0" xfId="0" applyNumberFormat="1" applyFont="1" applyAlignment="1">
      <alignment vertical="center"/>
    </xf>
    <xf numFmtId="164" fontId="48" fillId="0" borderId="0" xfId="131" applyNumberFormat="1" applyFont="1" applyAlignment="1">
      <alignment vertical="center"/>
    </xf>
    <xf numFmtId="164" fontId="49" fillId="0" borderId="0" xfId="131" applyNumberFormat="1" applyFont="1" applyAlignment="1">
      <alignment vertical="center"/>
    </xf>
    <xf numFmtId="164" fontId="49" fillId="25" borderId="0" xfId="131" applyNumberFormat="1" applyFont="1" applyFill="1" applyAlignment="1">
      <alignment vertical="center"/>
    </xf>
    <xf numFmtId="164" fontId="50" fillId="0" borderId="0" xfId="115" applyNumberFormat="1" applyFont="1" applyAlignment="1" applyProtection="1">
      <alignment vertical="center"/>
    </xf>
    <xf numFmtId="164" fontId="47" fillId="26" borderId="0" xfId="0" applyNumberFormat="1" applyFont="1" applyFill="1" applyAlignment="1">
      <alignment vertical="center"/>
    </xf>
    <xf numFmtId="164" fontId="47" fillId="27" borderId="0" xfId="0" applyNumberFormat="1" applyFont="1" applyFill="1" applyAlignment="1">
      <alignment vertical="center"/>
    </xf>
    <xf numFmtId="4" fontId="49" fillId="0" borderId="0" xfId="0" applyNumberFormat="1" applyFont="1" applyAlignment="1">
      <alignment vertical="center"/>
    </xf>
    <xf numFmtId="2" fontId="47" fillId="0" borderId="0" xfId="0" applyNumberFormat="1" applyFont="1" applyAlignment="1">
      <alignment vertical="center"/>
    </xf>
    <xf numFmtId="9" fontId="47" fillId="0" borderId="0" xfId="134" applyNumberFormat="1" applyFont="1" applyAlignment="1">
      <alignment vertical="center"/>
    </xf>
    <xf numFmtId="164" fontId="51" fillId="28" borderId="0" xfId="0" applyNumberFormat="1" applyFont="1" applyFill="1" applyAlignment="1">
      <alignment vertical="center"/>
    </xf>
    <xf numFmtId="164" fontId="51" fillId="28" borderId="0" xfId="0" applyNumberFormat="1" applyFont="1" applyFill="1" applyAlignment="1">
      <alignment horizontal="center" vertical="center" wrapText="1"/>
    </xf>
    <xf numFmtId="164" fontId="52" fillId="28" borderId="0" xfId="0" applyNumberFormat="1" applyFont="1" applyFill="1" applyAlignment="1">
      <alignment vertical="center"/>
    </xf>
    <xf numFmtId="164" fontId="53" fillId="28" borderId="0" xfId="131" applyNumberFormat="1" applyFont="1" applyFill="1" applyAlignment="1">
      <alignment vertical="center"/>
    </xf>
    <xf numFmtId="164" fontId="51" fillId="28" borderId="0" xfId="132" applyNumberFormat="1" applyFont="1" applyFill="1" applyAlignment="1">
      <alignment horizontal="center" vertical="center" wrapText="1"/>
    </xf>
    <xf numFmtId="164" fontId="51" fillId="28" borderId="0" xfId="132" applyNumberFormat="1" applyFont="1" applyFill="1" applyAlignment="1">
      <alignment vertical="center"/>
    </xf>
    <xf numFmtId="164" fontId="54" fillId="28" borderId="0" xfId="132" applyNumberFormat="1" applyFont="1" applyFill="1" applyAlignment="1">
      <alignment vertical="center"/>
    </xf>
    <xf numFmtId="3" fontId="52" fillId="28" borderId="0" xfId="0" applyNumberFormat="1" applyFont="1" applyFill="1" applyAlignment="1">
      <alignment vertical="center"/>
    </xf>
    <xf numFmtId="164" fontId="55" fillId="29" borderId="0" xfId="133" applyNumberFormat="1" applyFont="1" applyFill="1" applyAlignment="1">
      <alignment horizontal="center" vertical="center"/>
    </xf>
    <xf numFmtId="164" fontId="55" fillId="29" borderId="0" xfId="133" applyNumberFormat="1" applyFont="1" applyFill="1" applyAlignment="1">
      <alignment horizontal="center" vertical="center" wrapText="1"/>
    </xf>
    <xf numFmtId="178" fontId="56" fillId="30" borderId="0" xfId="0" applyNumberFormat="1" applyFont="1" applyFill="1" applyAlignment="1">
      <alignment horizontal="right" vertical="center"/>
    </xf>
    <xf numFmtId="1" fontId="55" fillId="29" borderId="0" xfId="133" applyNumberFormat="1" applyFont="1" applyFill="1" applyAlignment="1">
      <alignment horizontal="center" vertical="center"/>
    </xf>
    <xf numFmtId="179" fontId="57" fillId="28" borderId="0" xfId="0" applyNumberFormat="1" applyFont="1" applyFill="1" applyAlignment="1">
      <alignment horizontal="left" vertical="center"/>
    </xf>
    <xf numFmtId="4" fontId="51" fillId="28" borderId="0" xfId="0" applyNumberFormat="1" applyFont="1" applyFill="1" applyAlignment="1">
      <alignment vertical="center"/>
    </xf>
    <xf numFmtId="164" fontId="58" fillId="31" borderId="0" xfId="119" applyNumberFormat="1" applyFont="1" applyFill="1" applyAlignment="1">
      <alignment vertical="center" wrapText="1"/>
    </xf>
    <xf numFmtId="164" fontId="58" fillId="31" borderId="0" xfId="119" applyNumberFormat="1" applyFont="1" applyFill="1" applyAlignment="1">
      <alignment horizontal="center" vertical="center" wrapText="1"/>
    </xf>
    <xf numFmtId="164" fontId="58" fillId="31" borderId="0" xfId="119" applyNumberFormat="1" applyFont="1" applyFill="1" applyAlignment="1">
      <alignment vertical="center"/>
    </xf>
    <xf numFmtId="164" fontId="51" fillId="28" borderId="0" xfId="0" applyNumberFormat="1" applyFont="1" applyFill="1" applyAlignment="1">
      <alignment vertical="center" wrapText="1"/>
    </xf>
    <xf numFmtId="178" fontId="0" fillId="28" borderId="0" xfId="0" applyNumberFormat="1" applyFill="1" applyAlignment="1">
      <alignment horizontal="left" vertical="center"/>
    </xf>
    <xf numFmtId="164" fontId="45" fillId="28" borderId="0" xfId="132" applyNumberFormat="1" applyFont="1" applyFill="1" applyAlignment="1">
      <alignment vertical="center"/>
    </xf>
    <xf numFmtId="180" fontId="51" fillId="28" borderId="0" xfId="0" applyNumberFormat="1" applyFont="1" applyFill="1" applyAlignment="1">
      <alignment vertical="center"/>
    </xf>
    <xf numFmtId="164" fontId="51" fillId="28" borderId="0" xfId="0" applyNumberFormat="1" applyFont="1" applyFill="1" applyAlignment="1">
      <alignment horizontal="left" vertical="center" wrapText="1"/>
    </xf>
    <xf numFmtId="9" fontId="51" fillId="28" borderId="0" xfId="0" applyNumberFormat="1" applyFont="1" applyFill="1" applyAlignment="1">
      <alignment vertical="center"/>
    </xf>
    <xf numFmtId="181" fontId="51" fillId="28" borderId="0" xfId="0" applyNumberFormat="1" applyFont="1" applyFill="1" applyAlignment="1">
      <alignment vertical="center"/>
    </xf>
    <xf numFmtId="1" fontId="54" fillId="28" borderId="0" xfId="0" applyNumberFormat="1" applyFont="1" applyFill="1" applyAlignment="1">
      <alignment vertical="center"/>
    </xf>
    <xf numFmtId="0" fontId="51" fillId="28" borderId="0" xfId="0" applyNumberFormat="1" applyFont="1" applyFill="1"/>
    <xf numFmtId="180" fontId="51" fillId="28" borderId="0" xfId="134" applyNumberFormat="1" applyFont="1" applyFill="1"/>
    <xf numFmtId="178" fontId="14" fillId="28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right" vertical="center"/>
    </xf>
    <xf numFmtId="9" fontId="59" fillId="28" borderId="0" xfId="134" applyNumberFormat="1" applyFont="1" applyFill="1" applyAlignment="1">
      <alignment horizontal="right" vertical="center"/>
    </xf>
    <xf numFmtId="178" fontId="2" fillId="28" borderId="0" xfId="0" applyNumberFormat="1" applyFont="1" applyFill="1" applyAlignment="1">
      <alignment horizontal="left" vertical="center" indent="1"/>
    </xf>
    <xf numFmtId="178" fontId="2" fillId="26" borderId="0" xfId="0" applyNumberFormat="1" applyFont="1" applyFill="1" applyAlignment="1">
      <alignment horizontal="right" vertical="center"/>
    </xf>
    <xf numFmtId="178" fontId="57" fillId="28" borderId="0" xfId="0" applyNumberFormat="1" applyFont="1" applyFill="1" applyAlignment="1">
      <alignment horizontal="right" vertical="center"/>
    </xf>
    <xf numFmtId="9" fontId="2" fillId="26" borderId="0" xfId="134" applyNumberFormat="1" applyFont="1" applyFill="1" applyAlignment="1">
      <alignment horizontal="right" vertical="center"/>
    </xf>
    <xf numFmtId="178" fontId="2" fillId="27" borderId="0" xfId="0" applyNumberFormat="1" applyFont="1" applyFill="1" applyAlignment="1">
      <alignment horizontal="right" vertical="center"/>
    </xf>
    <xf numFmtId="9" fontId="2" fillId="28" borderId="0" xfId="134" applyNumberFormat="1" applyFont="1" applyFill="1" applyAlignment="1">
      <alignment horizontal="right" vertical="center"/>
    </xf>
    <xf numFmtId="178" fontId="60" fillId="28" borderId="0" xfId="0" applyNumberFormat="1" applyFont="1" applyFill="1" applyAlignment="1">
      <alignment horizontal="left" vertical="center" indent="1"/>
    </xf>
    <xf numFmtId="178" fontId="60" fillId="28" borderId="0" xfId="0" applyNumberFormat="1" applyFont="1" applyFill="1" applyAlignment="1">
      <alignment horizontal="left" vertical="center"/>
    </xf>
    <xf numFmtId="178" fontId="60" fillId="27" borderId="0" xfId="0" applyNumberFormat="1" applyFont="1" applyFill="1" applyAlignment="1">
      <alignment horizontal="right" vertical="center"/>
    </xf>
    <xf numFmtId="9" fontId="51" fillId="28" borderId="0" xfId="134" applyNumberFormat="1" applyFont="1" applyFill="1" applyAlignment="1">
      <alignment vertical="center"/>
    </xf>
    <xf numFmtId="0" fontId="51" fillId="0" borderId="0" xfId="0" applyNumberFormat="1" applyFont="1"/>
    <xf numFmtId="178" fontId="0" fillId="26" borderId="0" xfId="0" applyNumberFormat="1" applyFill="1" applyAlignment="1">
      <alignment horizontal="right" vertical="center"/>
    </xf>
    <xf numFmtId="10" fontId="0" fillId="0" borderId="9" xfId="0" applyNumberFormat="1" applyBorder="1" applyAlignment="1">
      <alignment horizontal="center"/>
    </xf>
    <xf numFmtId="178" fontId="57" fillId="28" borderId="0" xfId="0" applyNumberFormat="1" applyFont="1" applyFill="1" applyAlignment="1">
      <alignment horizontal="left" vertical="center" indent="1"/>
    </xf>
    <xf numFmtId="178" fontId="57" fillId="28" borderId="0" xfId="0" applyNumberFormat="1" applyFont="1" applyFill="1" applyAlignment="1">
      <alignment horizontal="left" vertical="center"/>
    </xf>
    <xf numFmtId="9" fontId="0" fillId="26" borderId="0" xfId="134" applyNumberFormat="1" applyFont="1" applyFill="1" applyAlignment="1">
      <alignment horizontal="right" vertical="center"/>
    </xf>
    <xf numFmtId="9" fontId="61" fillId="26" borderId="0" xfId="134" applyNumberFormat="1" applyFont="1" applyFill="1" applyAlignment="1">
      <alignment horizontal="right" vertical="center"/>
    </xf>
    <xf numFmtId="164" fontId="51" fillId="0" borderId="0" xfId="0" applyNumberFormat="1" applyFont="1" applyAlignment="1">
      <alignment vertical="center"/>
    </xf>
    <xf numFmtId="164" fontId="53" fillId="0" borderId="0" xfId="131" applyNumberFormat="1" applyFont="1" applyAlignment="1">
      <alignment vertical="center"/>
    </xf>
    <xf numFmtId="164" fontId="51" fillId="28" borderId="0" xfId="132" applyNumberFormat="1" applyFont="1" applyFill="1" applyAlignment="1">
      <alignment horizontal="left" vertical="center" wrapText="1"/>
    </xf>
    <xf numFmtId="2" fontId="51" fillId="28" borderId="0" xfId="0" applyNumberFormat="1" applyFont="1" applyFill="1" applyAlignment="1">
      <alignment vertical="center"/>
    </xf>
    <xf numFmtId="0" fontId="51" fillId="28" borderId="0" xfId="0" applyNumberFormat="1" applyFont="1" applyFill="1" applyAlignment="1">
      <alignment vertical="center"/>
    </xf>
    <xf numFmtId="3" fontId="62" fillId="28" borderId="0" xfId="0" applyNumberFormat="1" applyFont="1" applyFill="1" applyAlignment="1">
      <alignment vertical="center"/>
    </xf>
    <xf numFmtId="164" fontId="55" fillId="30" borderId="0" xfId="133" applyNumberFormat="1" applyFont="1" applyFill="1" applyAlignment="1">
      <alignment horizontal="center" vertical="center"/>
    </xf>
    <xf numFmtId="164" fontId="55" fillId="30" borderId="0" xfId="133" applyNumberFormat="1" applyFont="1" applyFill="1" applyAlignment="1">
      <alignment horizontal="left" vertical="center" wrapText="1"/>
    </xf>
    <xf numFmtId="1" fontId="55" fillId="30" borderId="0" xfId="133" applyNumberFormat="1" applyFont="1" applyFill="1" applyAlignment="1">
      <alignment horizontal="center" vertical="center"/>
    </xf>
    <xf numFmtId="179" fontId="2" fillId="28" borderId="0" xfId="0" applyNumberFormat="1" applyFont="1" applyFill="1" applyAlignment="1">
      <alignment horizontal="left" vertical="center"/>
    </xf>
    <xf numFmtId="182" fontId="2" fillId="28" borderId="0" xfId="0" applyNumberFormat="1" applyFont="1" applyFill="1" applyAlignment="1">
      <alignment horizontal="right" vertical="center"/>
    </xf>
    <xf numFmtId="180" fontId="2" fillId="28" borderId="0" xfId="134" applyNumberFormat="1" applyFont="1" applyFill="1" applyAlignment="1">
      <alignment horizontal="right" vertical="center"/>
    </xf>
    <xf numFmtId="178" fontId="56" fillId="30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center" vertical="center"/>
    </xf>
    <xf numFmtId="178" fontId="14" fillId="28" borderId="15" xfId="0" applyNumberFormat="1" applyFont="1" applyFill="1" applyBorder="1" applyAlignment="1">
      <alignment horizontal="left" vertical="center"/>
    </xf>
    <xf numFmtId="178" fontId="14" fillId="28" borderId="15" xfId="0" applyNumberFormat="1" applyFont="1" applyFill="1" applyBorder="1" applyAlignment="1">
      <alignment horizontal="right" vertical="center"/>
    </xf>
    <xf numFmtId="178" fontId="14" fillId="28" borderId="0" xfId="0" applyNumberFormat="1" applyFont="1" applyFill="1" applyAlignment="1">
      <alignment horizontal="right" vertical="center"/>
    </xf>
    <xf numFmtId="9" fontId="52" fillId="28" borderId="0" xfId="134" applyNumberFormat="1" applyFont="1" applyFill="1" applyAlignment="1">
      <alignment vertical="center"/>
    </xf>
    <xf numFmtId="164" fontId="53" fillId="28" borderId="0" xfId="131" applyNumberFormat="1" applyFont="1" applyFill="1" applyAlignment="1">
      <alignment horizontal="center" vertical="center" wrapText="1"/>
    </xf>
    <xf numFmtId="1" fontId="63" fillId="28" borderId="0" xfId="133" applyNumberFormat="1" applyFont="1" applyFill="1" applyAlignment="1">
      <alignment horizontal="right" vertical="center"/>
    </xf>
    <xf numFmtId="164" fontId="55" fillId="30" borderId="0" xfId="133" applyNumberFormat="1" applyFont="1" applyFill="1" applyAlignment="1">
      <alignment horizontal="center" vertical="center" wrapText="1"/>
    </xf>
    <xf numFmtId="179" fontId="2" fillId="28" borderId="0" xfId="0" applyNumberFormat="1" applyFont="1" applyFill="1" applyAlignment="1">
      <alignment horizontal="right" vertical="center"/>
    </xf>
    <xf numFmtId="178" fontId="14" fillId="32" borderId="0" xfId="0" applyNumberFormat="1" applyFont="1" applyFill="1" applyAlignment="1">
      <alignment horizontal="left" vertical="center"/>
    </xf>
    <xf numFmtId="178" fontId="14" fillId="32" borderId="0" xfId="0" applyNumberFormat="1" applyFont="1" applyFill="1" applyAlignment="1">
      <alignment horizontal="right" vertical="center"/>
    </xf>
    <xf numFmtId="178" fontId="60" fillId="28" borderId="0" xfId="0" applyNumberFormat="1" applyFont="1" applyFill="1" applyAlignment="1">
      <alignment horizontal="right" vertical="center"/>
    </xf>
    <xf numFmtId="178" fontId="14" fillId="28" borderId="16" xfId="0" applyNumberFormat="1" applyFont="1" applyFill="1" applyBorder="1" applyAlignment="1">
      <alignment horizontal="left" vertical="center"/>
    </xf>
    <xf numFmtId="178" fontId="14" fillId="28" borderId="16" xfId="0" applyNumberFormat="1" applyFont="1" applyFill="1" applyBorder="1" applyAlignment="1">
      <alignment horizontal="right" vertical="center"/>
    </xf>
    <xf numFmtId="178" fontId="60" fillId="28" borderId="0" xfId="0" applyNumberFormat="1" applyFont="1" applyFill="1" applyAlignment="1">
      <alignment horizontal="left" vertical="center" indent="2"/>
    </xf>
    <xf numFmtId="178" fontId="60" fillId="33" borderId="0" xfId="0" applyNumberFormat="1" applyFont="1" applyFill="1" applyAlignment="1">
      <alignment horizontal="right" vertical="center"/>
    </xf>
    <xf numFmtId="1" fontId="63" fillId="28" borderId="0" xfId="133" applyNumberFormat="1" applyFont="1" applyFill="1" applyAlignment="1">
      <alignment horizontal="center" vertical="center"/>
    </xf>
    <xf numFmtId="1" fontId="64" fillId="28" borderId="0" xfId="133" applyNumberFormat="1" applyFont="1" applyFill="1" applyAlignment="1">
      <alignment horizontal="center" vertical="center"/>
    </xf>
    <xf numFmtId="178" fontId="2" fillId="28" borderId="0" xfId="0" applyNumberFormat="1" applyFont="1" applyFill="1" applyAlignment="1">
      <alignment vertical="center"/>
    </xf>
    <xf numFmtId="164" fontId="51" fillId="28" borderId="0" xfId="132" applyNumberFormat="1" applyFont="1" applyFill="1" applyAlignment="1">
      <alignment vertical="center" wrapText="1"/>
    </xf>
    <xf numFmtId="178" fontId="65" fillId="28" borderId="0" xfId="0" applyNumberFormat="1" applyFont="1" applyFill="1" applyAlignment="1">
      <alignment horizontal="right" vertical="center"/>
    </xf>
    <xf numFmtId="164" fontId="55" fillId="30" borderId="0" xfId="133" applyNumberFormat="1" applyFont="1" applyFill="1" applyAlignment="1">
      <alignment vertical="center"/>
    </xf>
    <xf numFmtId="164" fontId="55" fillId="30" borderId="0" xfId="133" applyNumberFormat="1" applyFont="1" applyFill="1" applyAlignment="1">
      <alignment vertical="center" wrapText="1"/>
    </xf>
    <xf numFmtId="179" fontId="2" fillId="28" borderId="0" xfId="0" applyNumberFormat="1" applyFont="1" applyFill="1" applyAlignment="1">
      <alignment vertical="center"/>
    </xf>
    <xf numFmtId="178" fontId="15" fillId="28" borderId="0" xfId="0" applyNumberFormat="1" applyFont="1" applyFill="1" applyAlignment="1">
      <alignment vertical="center"/>
    </xf>
    <xf numFmtId="178" fontId="15" fillId="28" borderId="0" xfId="0" applyNumberFormat="1" applyFont="1" applyFill="1" applyAlignment="1">
      <alignment horizontal="right" vertical="center"/>
    </xf>
    <xf numFmtId="178" fontId="14" fillId="28" borderId="0" xfId="0" applyNumberFormat="1" applyFont="1" applyFill="1" applyAlignment="1">
      <alignment vertical="center"/>
    </xf>
    <xf numFmtId="178" fontId="66" fillId="28" borderId="0" xfId="0" applyNumberFormat="1" applyFont="1" applyFill="1" applyAlignment="1">
      <alignment vertical="center"/>
    </xf>
    <xf numFmtId="178" fontId="66" fillId="28" borderId="0" xfId="0" applyNumberFormat="1" applyFont="1" applyFill="1" applyAlignment="1">
      <alignment horizontal="right" vertical="center"/>
    </xf>
    <xf numFmtId="183" fontId="2" fillId="28" borderId="0" xfId="0" applyNumberFormat="1" applyFont="1" applyFill="1" applyAlignment="1">
      <alignment horizontal="right" vertical="center"/>
    </xf>
    <xf numFmtId="184" fontId="67" fillId="28" borderId="0" xfId="134" applyNumberFormat="1" applyFont="1" applyFill="1" applyAlignment="1">
      <alignment horizontal="right" vertical="center"/>
    </xf>
    <xf numFmtId="178" fontId="67" fillId="28" borderId="0" xfId="0" applyNumberFormat="1" applyFont="1" applyFill="1" applyAlignment="1">
      <alignment horizontal="right" vertical="center"/>
    </xf>
    <xf numFmtId="185" fontId="67" fillId="28" borderId="0" xfId="134" applyNumberFormat="1" applyFont="1" applyFill="1" applyAlignment="1">
      <alignment horizontal="right" vertical="center"/>
    </xf>
    <xf numFmtId="164" fontId="51" fillId="28" borderId="0" xfId="0" applyNumberFormat="1" applyFont="1" applyFill="1" applyAlignment="1">
      <alignment horizontal="left" vertical="center"/>
    </xf>
    <xf numFmtId="178" fontId="56" fillId="34" borderId="0" xfId="0" applyNumberFormat="1" applyFont="1" applyFill="1" applyAlignment="1">
      <alignment horizontal="left" vertical="center"/>
    </xf>
    <xf numFmtId="178" fontId="56" fillId="34" borderId="0" xfId="0" applyNumberFormat="1" applyFont="1" applyFill="1" applyAlignment="1">
      <alignment horizontal="right" vertical="center"/>
    </xf>
    <xf numFmtId="178" fontId="15" fillId="28" borderId="0" xfId="0" applyNumberFormat="1" applyFont="1" applyFill="1" applyAlignment="1">
      <alignment horizontal="left" vertical="center"/>
    </xf>
    <xf numFmtId="9" fontId="15" fillId="28" borderId="0" xfId="134" applyNumberFormat="1" applyFont="1" applyFill="1" applyAlignment="1">
      <alignment horizontal="right" vertical="center"/>
    </xf>
    <xf numFmtId="9" fontId="2" fillId="28" borderId="0" xfId="134" applyNumberFormat="1" applyFont="1" applyFill="1" applyAlignment="1">
      <alignment horizontal="left" vertical="center"/>
    </xf>
    <xf numFmtId="9" fontId="15" fillId="28" borderId="0" xfId="134" applyNumberFormat="1" applyFont="1" applyFill="1" applyAlignment="1">
      <alignment horizontal="left" vertical="center"/>
    </xf>
    <xf numFmtId="178" fontId="56" fillId="34" borderId="0" xfId="0" applyNumberFormat="1" applyFont="1" applyFill="1" applyAlignment="1">
      <alignment horizontal="right" vertical="center" wrapText="1"/>
    </xf>
    <xf numFmtId="0" fontId="0" fillId="28" borderId="0" xfId="0" applyNumberFormat="1" applyFill="1"/>
    <xf numFmtId="0" fontId="0" fillId="28" borderId="17" xfId="0" applyNumberFormat="1" applyFill="1" applyBorder="1"/>
    <xf numFmtId="9" fontId="0" fillId="28" borderId="0" xfId="0" applyNumberFormat="1" applyFill="1"/>
    <xf numFmtId="178" fontId="0" fillId="28" borderId="0" xfId="0" applyNumberFormat="1" applyFill="1"/>
    <xf numFmtId="179" fontId="0" fillId="28" borderId="0" xfId="0" applyNumberFormat="1" applyFill="1"/>
    <xf numFmtId="178" fontId="68" fillId="28" borderId="0" xfId="0" applyNumberFormat="1" applyFont="1" applyFill="1" applyAlignment="1">
      <alignment horizontal="right" vertical="center"/>
    </xf>
    <xf numFmtId="178" fontId="14" fillId="28" borderId="18" xfId="0" applyNumberFormat="1" applyFont="1" applyFill="1" applyBorder="1" applyAlignment="1">
      <alignment horizontal="left" vertical="center"/>
    </xf>
    <xf numFmtId="178" fontId="14" fillId="28" borderId="19" xfId="0" applyNumberFormat="1" applyFont="1" applyFill="1" applyBorder="1" applyAlignment="1">
      <alignment horizontal="right" vertical="center"/>
    </xf>
    <xf numFmtId="178" fontId="2" fillId="28" borderId="19" xfId="0" applyNumberFormat="1" applyFont="1" applyFill="1" applyBorder="1" applyAlignment="1">
      <alignment horizontal="right" vertical="center"/>
    </xf>
    <xf numFmtId="0" fontId="69" fillId="28" borderId="0" xfId="0" applyNumberFormat="1" applyFont="1" applyFill="1"/>
    <xf numFmtId="178" fontId="69" fillId="28" borderId="0" xfId="0" applyNumberFormat="1" applyFont="1" applyFill="1"/>
    <xf numFmtId="9" fontId="0" fillId="28" borderId="0" xfId="134" applyNumberFormat="1" applyFont="1" applyFill="1"/>
    <xf numFmtId="178" fontId="68" fillId="28" borderId="0" xfId="0" applyNumberFormat="1" applyFont="1" applyFill="1" applyAlignment="1">
      <alignment horizontal="left" vertical="center"/>
    </xf>
    <xf numFmtId="9" fontId="68" fillId="28" borderId="0" xfId="134" applyNumberFormat="1" applyFont="1" applyFill="1" applyAlignment="1">
      <alignment horizontal="right" vertical="center"/>
    </xf>
    <xf numFmtId="180" fontId="14" fillId="28" borderId="0" xfId="134" applyNumberFormat="1" applyFont="1" applyFill="1" applyAlignment="1">
      <alignment horizontal="right" vertical="center"/>
    </xf>
    <xf numFmtId="182" fontId="14" fillId="28" borderId="0" xfId="0" applyNumberFormat="1" applyFont="1" applyFill="1" applyAlignment="1">
      <alignment horizontal="right" vertical="center"/>
    </xf>
    <xf numFmtId="178" fontId="70" fillId="28" borderId="0" xfId="0" applyNumberFormat="1" applyFont="1" applyFill="1" applyAlignment="1">
      <alignment horizontal="right" vertical="center"/>
    </xf>
    <xf numFmtId="9" fontId="14" fillId="28" borderId="0" xfId="134" applyNumberFormat="1" applyFont="1" applyFill="1" applyAlignment="1">
      <alignment horizontal="right" vertical="center"/>
    </xf>
    <xf numFmtId="185" fontId="14" fillId="28" borderId="0" xfId="134" applyNumberFormat="1" applyFont="1" applyFill="1" applyAlignment="1">
      <alignment horizontal="right" vertical="center"/>
    </xf>
    <xf numFmtId="164" fontId="51" fillId="0" borderId="0" xfId="0" applyNumberFormat="1" applyFont="1" applyAlignment="1">
      <alignment horizontal="center" vertical="center"/>
    </xf>
    <xf numFmtId="164" fontId="52" fillId="0" borderId="0" xfId="0" applyNumberFormat="1" applyFont="1" applyAlignment="1">
      <alignment vertical="center"/>
    </xf>
    <xf numFmtId="164" fontId="45" fillId="0" borderId="0" xfId="132" applyNumberFormat="1" applyFont="1" applyAlignment="1">
      <alignment vertical="center"/>
    </xf>
    <xf numFmtId="164" fontId="71" fillId="0" borderId="0" xfId="131" applyNumberFormat="1" applyFont="1" applyAlignment="1">
      <alignment vertical="center"/>
    </xf>
    <xf numFmtId="164" fontId="71" fillId="0" borderId="0" xfId="131" applyNumberFormat="1" applyFont="1" applyAlignment="1">
      <alignment horizontal="center" vertical="center"/>
    </xf>
    <xf numFmtId="164" fontId="72" fillId="0" borderId="0" xfId="132" applyNumberFormat="1" applyFont="1" applyAlignment="1">
      <alignment vertical="center"/>
    </xf>
    <xf numFmtId="164" fontId="72" fillId="0" borderId="0" xfId="132" applyNumberFormat="1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3" fontId="62" fillId="0" borderId="0" xfId="0" applyNumberFormat="1" applyFont="1" applyAlignment="1" applyProtection="1">
      <alignment vertical="center"/>
    </xf>
    <xf numFmtId="17" fontId="55" fillId="29" borderId="0" xfId="133" applyNumberFormat="1" applyFont="1" applyFill="1" applyAlignment="1">
      <alignment horizontal="center" vertical="center"/>
    </xf>
    <xf numFmtId="164" fontId="73" fillId="29" borderId="0" xfId="133" applyNumberFormat="1" applyFont="1" applyFill="1" applyAlignment="1">
      <alignment horizontal="center" vertical="center"/>
    </xf>
    <xf numFmtId="164" fontId="54" fillId="0" borderId="0" xfId="0" applyNumberFormat="1" applyFont="1" applyAlignment="1">
      <alignment vertical="center"/>
    </xf>
    <xf numFmtId="164" fontId="58" fillId="31" borderId="0" xfId="119" applyNumberFormat="1" applyFont="1" applyFill="1" applyAlignment="1">
      <alignment horizontal="center" vertical="center"/>
    </xf>
    <xf numFmtId="3" fontId="58" fillId="31" borderId="0" xfId="119" applyNumberFormat="1" applyFont="1" applyFill="1" applyAlignment="1">
      <alignment vertical="center"/>
    </xf>
    <xf numFmtId="164" fontId="74" fillId="31" borderId="0" xfId="119" applyNumberFormat="1" applyFont="1" applyFill="1" applyAlignment="1">
      <alignment vertical="center"/>
    </xf>
    <xf numFmtId="164" fontId="75" fillId="20" borderId="0" xfId="128" applyNumberFormat="1" applyFont="1" applyFill="1" applyAlignment="1">
      <alignment vertical="center"/>
    </xf>
    <xf numFmtId="164" fontId="75" fillId="20" borderId="0" xfId="128" applyNumberFormat="1" applyFont="1" applyFill="1" applyAlignment="1">
      <alignment horizontal="center" vertical="center"/>
    </xf>
    <xf numFmtId="164" fontId="76" fillId="20" borderId="0" xfId="128" applyNumberFormat="1" applyFont="1" applyFill="1" applyAlignment="1">
      <alignment vertical="center"/>
    </xf>
    <xf numFmtId="164" fontId="51" fillId="0" borderId="0" xfId="0" applyNumberFormat="1" applyFont="1" applyAlignment="1">
      <alignment vertical="center" wrapText="1"/>
    </xf>
    <xf numFmtId="3" fontId="77" fillId="0" borderId="0" xfId="0" applyNumberFormat="1" applyFont="1" applyAlignment="1">
      <alignment vertical="center"/>
    </xf>
    <xf numFmtId="3" fontId="74" fillId="31" borderId="0" xfId="119" applyNumberFormat="1" applyFont="1" applyFill="1" applyAlignment="1">
      <alignment vertical="center"/>
    </xf>
    <xf numFmtId="3" fontId="75" fillId="20" borderId="0" xfId="128" applyNumberFormat="1" applyFont="1" applyFill="1" applyAlignment="1">
      <alignment vertical="center"/>
    </xf>
    <xf numFmtId="3" fontId="76" fillId="20" borderId="0" xfId="128" applyNumberFormat="1" applyFont="1" applyFill="1" applyAlignment="1">
      <alignment vertical="center"/>
    </xf>
    <xf numFmtId="49" fontId="54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164" fontId="75" fillId="20" borderId="0" xfId="128" applyNumberFormat="1" applyFont="1" applyFill="1" applyAlignment="1">
      <alignment vertical="center" wrapText="1"/>
    </xf>
    <xf numFmtId="3" fontId="54" fillId="0" borderId="0" xfId="0" applyNumberFormat="1" applyFont="1" applyAlignment="1">
      <alignment vertical="center"/>
    </xf>
    <xf numFmtId="164" fontId="78" fillId="31" borderId="0" xfId="119" applyNumberFormat="1" applyFont="1" applyFill="1" applyAlignment="1">
      <alignment vertical="center" wrapText="1"/>
    </xf>
    <xf numFmtId="164" fontId="78" fillId="31" borderId="0" xfId="119" applyNumberFormat="1" applyFont="1" applyFill="1" applyAlignment="1">
      <alignment horizontal="center" vertical="center"/>
    </xf>
    <xf numFmtId="3" fontId="78" fillId="31" borderId="0" xfId="119" applyNumberFormat="1" applyFont="1" applyFill="1" applyAlignment="1">
      <alignment vertical="center"/>
    </xf>
    <xf numFmtId="3" fontId="79" fillId="0" borderId="0" xfId="0" applyNumberFormat="1" applyFont="1" applyAlignment="1" applyProtection="1">
      <alignment vertical="center"/>
    </xf>
    <xf numFmtId="9" fontId="51" fillId="0" borderId="0" xfId="0" applyNumberFormat="1" applyFont="1" applyAlignment="1">
      <alignment vertical="center"/>
    </xf>
    <xf numFmtId="9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horizontal="center" vertical="center"/>
    </xf>
    <xf numFmtId="186" fontId="51" fillId="0" borderId="0" xfId="0" applyNumberFormat="1" applyFont="1" applyAlignment="1">
      <alignment vertical="center"/>
    </xf>
    <xf numFmtId="164" fontId="52" fillId="0" borderId="0" xfId="0" applyNumberFormat="1" applyFont="1" applyAlignment="1">
      <alignment horizontal="left" vertical="center" indent="1"/>
    </xf>
    <xf numFmtId="1" fontId="55" fillId="30" borderId="0" xfId="133" applyNumberFormat="1" applyFont="1" applyFill="1" applyAlignment="1">
      <alignment horizontal="left" vertical="center"/>
    </xf>
    <xf numFmtId="178" fontId="14" fillId="28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right" vertical="center"/>
    </xf>
    <xf numFmtId="178" fontId="2" fillId="28" borderId="0" xfId="0" applyNumberFormat="1" applyFont="1" applyFill="1" applyAlignment="1">
      <alignment horizontal="left" vertical="center"/>
    </xf>
    <xf numFmtId="9" fontId="2" fillId="28" borderId="0" xfId="0" applyNumberFormat="1" applyFont="1" applyFill="1" applyAlignment="1">
      <alignment horizontal="right" vertical="center"/>
    </xf>
    <xf numFmtId="4" fontId="2" fillId="28" borderId="0" xfId="0" applyNumberFormat="1" applyFont="1" applyFill="1" applyAlignment="1">
      <alignment horizontal="right" vertical="center"/>
    </xf>
    <xf numFmtId="180" fontId="2" fillId="28" borderId="0" xfId="0" applyNumberFormat="1" applyFont="1" applyFill="1" applyAlignment="1">
      <alignment horizontal="right" vertical="center"/>
    </xf>
    <xf numFmtId="1" fontId="80" fillId="30" borderId="0" xfId="133" applyNumberFormat="1" applyFont="1" applyFill="1" applyAlignment="1">
      <alignment horizontal="center" vertical="center" wrapText="1"/>
    </xf>
    <xf numFmtId="187" fontId="2" fillId="28" borderId="0" xfId="0" applyNumberFormat="1" applyFont="1" applyFill="1" applyAlignment="1">
      <alignment horizontal="right" vertical="center"/>
    </xf>
    <xf numFmtId="181" fontId="2" fillId="28" borderId="0" xfId="0" applyNumberFormat="1" applyFont="1" applyFill="1" applyAlignment="1">
      <alignment horizontal="right" vertical="center"/>
    </xf>
    <xf numFmtId="10" fontId="2" fillId="28" borderId="0" xfId="134" applyNumberFormat="1" applyFont="1" applyFill="1" applyAlignment="1">
      <alignment horizontal="right" vertical="center"/>
    </xf>
    <xf numFmtId="178" fontId="2" fillId="28" borderId="20" xfId="0" applyNumberFormat="1" applyFont="1" applyFill="1" applyBorder="1" applyAlignment="1">
      <alignment horizontal="right" vertical="center"/>
    </xf>
    <xf numFmtId="178" fontId="2" fillId="35" borderId="20" xfId="0" applyNumberFormat="1" applyFont="1" applyFill="1" applyBorder="1" applyAlignment="1">
      <alignment horizontal="right" vertical="center"/>
    </xf>
    <xf numFmtId="49" fontId="2" fillId="28" borderId="0" xfId="0" applyNumberFormat="1" applyFont="1" applyFill="1" applyAlignment="1">
      <alignment horizontal="left" vertical="center"/>
    </xf>
    <xf numFmtId="0" fontId="0" fillId="0" borderId="0" xfId="0" applyNumberFormat="1"/>
    <xf numFmtId="0" fontId="0" fillId="0" borderId="0" xfId="0" applyNumberFormat="1" applyAlignment="1">
      <alignment horizontal="left"/>
    </xf>
    <xf numFmtId="9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/>
    <xf numFmtId="0" fontId="83" fillId="28" borderId="0" xfId="0" applyNumberFormat="1" applyFont="1" applyFill="1"/>
    <xf numFmtId="180" fontId="83" fillId="28" borderId="0" xfId="134" applyNumberFormat="1" applyFont="1" applyFill="1"/>
    <xf numFmtId="164" fontId="84" fillId="31" borderId="0" xfId="119" applyNumberFormat="1" applyFont="1" applyFill="1" applyAlignment="1">
      <alignment vertical="center" wrapText="1"/>
    </xf>
    <xf numFmtId="178" fontId="85" fillId="28" borderId="0" xfId="0" applyNumberFormat="1" applyFont="1" applyFill="1" applyAlignment="1">
      <alignment horizontal="left" vertical="center"/>
    </xf>
    <xf numFmtId="178" fontId="86" fillId="36" borderId="0" xfId="0" applyNumberFormat="1" applyFont="1" applyFill="1" applyAlignment="1">
      <alignment horizontal="right" vertical="center"/>
    </xf>
    <xf numFmtId="178" fontId="87" fillId="28" borderId="0" xfId="0" applyNumberFormat="1" applyFont="1" applyFill="1" applyAlignment="1">
      <alignment horizontal="left" vertical="center" indent="1"/>
    </xf>
    <xf numFmtId="178" fontId="2" fillId="37" borderId="0" xfId="0" applyNumberFormat="1" applyFont="1" applyFill="1" applyAlignment="1">
      <alignment horizontal="right" vertical="center"/>
    </xf>
    <xf numFmtId="178" fontId="88" fillId="28" borderId="0" xfId="0" applyNumberFormat="1" applyFont="1" applyFill="1" applyAlignment="1">
      <alignment horizontal="left" vertical="center" indent="1"/>
    </xf>
    <xf numFmtId="178" fontId="2" fillId="28" borderId="0" xfId="0" applyNumberFormat="1" applyFont="1" applyFill="1" applyAlignment="1">
      <alignment horizontal="center" vertical="center"/>
    </xf>
    <xf numFmtId="178" fontId="2" fillId="28" borderId="0" xfId="0" applyNumberFormat="1" applyFont="1" applyFill="1" applyAlignment="1">
      <alignment horizontal="left" vertical="center"/>
    </xf>
    <xf numFmtId="164" fontId="0" fillId="0" borderId="0" xfId="0" applyNumberFormat="1" applyAlignment="1">
      <alignment horizontal="left"/>
    </xf>
  </cellXfs>
  <cellStyles count="154">
    <cellStyle name="_8. Sochinskaya TTP model" xfId="1" xr:uid="{00000000-0005-0000-0000-000000000000}"/>
    <cellStyle name="_Ekibastuz 21 05" xfId="2" xr:uid="{00000000-0005-0000-0000-000001000000}"/>
    <cellStyle name="_FinancialModel_IEC_22_11_05_corrected" xfId="3" xr:uid="{00000000-0005-0000-0000-000002000000}"/>
    <cellStyle name="_Nordic_БП 2007 год_adjusted_06.03.07" xfId="4" xr:uid="{00000000-0005-0000-0000-000003000000}"/>
    <cellStyle name="_P&amp;L &amp; Value" xfId="5" xr:uid="{00000000-0005-0000-0000-000004000000}"/>
    <cellStyle name="_Telasi_03_05_v5" xfId="6" xr:uid="{00000000-0005-0000-0000-000005000000}"/>
    <cellStyle name="_Бизнес-план ЗАО ИНТЕР РАО ЕЭС на 2007 год" xfId="7" xr:uid="{00000000-0005-0000-0000-000006000000}"/>
    <cellStyle name="_Бизнес-план МГРЭС 2007" xfId="8" xr:uid="{00000000-0005-0000-0000-000007000000}"/>
    <cellStyle name="_БП 2007" xfId="9" xr:uid="{00000000-0005-0000-0000-000008000000}"/>
    <cellStyle name="_займы и кредиты ДЗО_01 04 07_ts" xfId="10" xr:uid="{00000000-0005-0000-0000-000009000000}"/>
    <cellStyle name="_Займы_01.01.2007" xfId="11" xr:uid="{00000000-0005-0000-0000-00000A000000}"/>
    <cellStyle name="_Копия Информация по полученным кредитам (займам)" xfId="12" xr:uid="{00000000-0005-0000-0000-00000B000000}"/>
    <cellStyle name="_Кредиты_01.01.2007" xfId="13" xr:uid="{00000000-0005-0000-0000-00000C000000}"/>
    <cellStyle name="_КФЭМ_Консолидир" xfId="14" xr:uid="{00000000-0005-0000-0000-00000D000000}"/>
    <cellStyle name="_Модель Экибастуз на 2004-2020 (09 04 07)" xfId="15" xr:uid="{00000000-0005-0000-0000-00000E000000}"/>
    <cellStyle name="_Мтквари_03_03_v2" xfId="16" xr:uid="{00000000-0005-0000-0000-00000F000000}"/>
    <cellStyle name="_Мтквари_08_06_v2" xfId="17" xr:uid="{00000000-0005-0000-0000-000010000000}"/>
    <cellStyle name="_МЭК Таблицы к БП на 2007 год помесячно (14.03.07)" xfId="18" xr:uid="{00000000-0005-0000-0000-000011000000}"/>
    <cellStyle name="_СВОД Формы ФЗБП-1 и ФЗБП-2 на 2007 год" xfId="19" xr:uid="{00000000-0005-0000-0000-000012000000}"/>
    <cellStyle name="_справочник и форма ДДС 24.08.09" xfId="20" xr:uid="{00000000-0005-0000-0000-000013000000}"/>
    <cellStyle name="”ќђќ‘ћ‚›‰" xfId="21" xr:uid="{00000000-0005-0000-0000-000014000000}"/>
    <cellStyle name="”љ‘ђћ‚ђќќ›‰" xfId="22" xr:uid="{00000000-0005-0000-0000-000015000000}"/>
    <cellStyle name="„…ќ…†ќ›‰" xfId="23" xr:uid="{00000000-0005-0000-0000-000016000000}"/>
    <cellStyle name="=C:\WINNT35\SYSTEM32\COMMAND.COM" xfId="24" xr:uid="{00000000-0005-0000-0000-000017000000}"/>
    <cellStyle name="‡ђѓћ‹ћ‚ћљ1" xfId="25" xr:uid="{00000000-0005-0000-0000-000018000000}"/>
    <cellStyle name="‡ђѓћ‹ћ‚ћљ2" xfId="26" xr:uid="{00000000-0005-0000-0000-000019000000}"/>
    <cellStyle name="’ћѓћ‚›‰" xfId="27" xr:uid="{00000000-0005-0000-0000-00001A000000}"/>
    <cellStyle name="20% - Accent1" xfId="28" xr:uid="{00000000-0005-0000-0000-00001B000000}"/>
    <cellStyle name="20% - Accent2" xfId="29" xr:uid="{00000000-0005-0000-0000-00001C000000}"/>
    <cellStyle name="20% - Accent3" xfId="30" xr:uid="{00000000-0005-0000-0000-00001D000000}"/>
    <cellStyle name="20% - Accent4" xfId="31" xr:uid="{00000000-0005-0000-0000-00001E000000}"/>
    <cellStyle name="20% - Accent5" xfId="32" xr:uid="{00000000-0005-0000-0000-00001F000000}"/>
    <cellStyle name="20% - Accent6" xfId="33" xr:uid="{00000000-0005-0000-0000-000020000000}"/>
    <cellStyle name="40% - Accent1" xfId="34" xr:uid="{00000000-0005-0000-0000-000021000000}"/>
    <cellStyle name="40% - Accent2" xfId="35" xr:uid="{00000000-0005-0000-0000-000022000000}"/>
    <cellStyle name="40% - Accent3" xfId="36" xr:uid="{00000000-0005-0000-0000-000023000000}"/>
    <cellStyle name="40% - Accent4" xfId="37" xr:uid="{00000000-0005-0000-0000-000024000000}"/>
    <cellStyle name="40% - Accent5" xfId="38" xr:uid="{00000000-0005-0000-0000-000025000000}"/>
    <cellStyle name="40% - Accent6" xfId="39" xr:uid="{00000000-0005-0000-0000-000026000000}"/>
    <cellStyle name="60% - Accent1" xfId="40" xr:uid="{00000000-0005-0000-0000-000027000000}"/>
    <cellStyle name="60% - Accent2" xfId="41" xr:uid="{00000000-0005-0000-0000-000028000000}"/>
    <cellStyle name="60% - Accent3" xfId="42" xr:uid="{00000000-0005-0000-0000-000029000000}"/>
    <cellStyle name="60% - Accent4" xfId="43" xr:uid="{00000000-0005-0000-0000-00002A000000}"/>
    <cellStyle name="60% - Accent5" xfId="44" xr:uid="{00000000-0005-0000-0000-00002B000000}"/>
    <cellStyle name="60% - Accent6" xfId="45" xr:uid="{00000000-0005-0000-0000-00002C000000}"/>
    <cellStyle name="Accent1" xfId="46" xr:uid="{00000000-0005-0000-0000-00002D000000}"/>
    <cellStyle name="Accent2" xfId="47" xr:uid="{00000000-0005-0000-0000-00002E000000}"/>
    <cellStyle name="Accent3" xfId="48" xr:uid="{00000000-0005-0000-0000-00002F000000}"/>
    <cellStyle name="Accent4" xfId="49" xr:uid="{00000000-0005-0000-0000-000030000000}"/>
    <cellStyle name="Accent5" xfId="50" xr:uid="{00000000-0005-0000-0000-000031000000}"/>
    <cellStyle name="Accent6" xfId="51" xr:uid="{00000000-0005-0000-0000-000032000000}"/>
    <cellStyle name="alternate" xfId="52" xr:uid="{00000000-0005-0000-0000-000033000000}"/>
    <cellStyle name="ARtext" xfId="53" xr:uid="{00000000-0005-0000-0000-000034000000}"/>
    <cellStyle name="Bad" xfId="54" xr:uid="{00000000-0005-0000-0000-000035000000}"/>
    <cellStyle name="Calculation" xfId="55" xr:uid="{00000000-0005-0000-0000-000036000000}"/>
    <cellStyle name="Call ins" xfId="56" xr:uid="{00000000-0005-0000-0000-000037000000}"/>
    <cellStyle name="Check" xfId="57" xr:uid="{00000000-0005-0000-0000-000038000000}"/>
    <cellStyle name="Check Cell" xfId="58" xr:uid="{00000000-0005-0000-0000-000039000000}"/>
    <cellStyle name="Comma0" xfId="59" xr:uid="{00000000-0005-0000-0000-00003A000000}"/>
    <cellStyle name="Date" xfId="60" xr:uid="{00000000-0005-0000-0000-00003B000000}"/>
    <cellStyle name="Deviant" xfId="61" xr:uid="{00000000-0005-0000-0000-00003C000000}"/>
    <cellStyle name="done" xfId="62" xr:uid="{00000000-0005-0000-0000-00003D000000}"/>
    <cellStyle name="Dziesiêtny [0]_1" xfId="63" xr:uid="{00000000-0005-0000-0000-00003E000000}"/>
    <cellStyle name="Dziesiêtny_1" xfId="64" xr:uid="{00000000-0005-0000-0000-00003F000000}"/>
    <cellStyle name="Euro" xfId="65" xr:uid="{00000000-0005-0000-0000-000040000000}"/>
    <cellStyle name="Explanatory Text" xfId="66" xr:uid="{00000000-0005-0000-0000-000041000000}"/>
    <cellStyle name="Factor" xfId="67" xr:uid="{00000000-0005-0000-0000-000042000000}"/>
    <cellStyle name="From" xfId="68" xr:uid="{00000000-0005-0000-0000-000043000000}"/>
    <cellStyle name="Good" xfId="69" xr:uid="{00000000-0005-0000-0000-000044000000}"/>
    <cellStyle name="Grey" xfId="70" xr:uid="{00000000-0005-0000-0000-000045000000}"/>
    <cellStyle name="Header1" xfId="71" xr:uid="{00000000-0005-0000-0000-000046000000}"/>
    <cellStyle name="Header2" xfId="72" xr:uid="{00000000-0005-0000-0000-000047000000}"/>
    <cellStyle name="Heading 1" xfId="73" xr:uid="{00000000-0005-0000-0000-000048000000}"/>
    <cellStyle name="Heading 2" xfId="74" xr:uid="{00000000-0005-0000-0000-000049000000}"/>
    <cellStyle name="Heading 3" xfId="75" xr:uid="{00000000-0005-0000-0000-00004A000000}"/>
    <cellStyle name="Heading 4" xfId="76" xr:uid="{00000000-0005-0000-0000-00004B000000}"/>
    <cellStyle name="Input" xfId="77" xr:uid="{00000000-0005-0000-0000-00004C000000}"/>
    <cellStyle name="Input [yellow]" xfId="78" xr:uid="{00000000-0005-0000-0000-00004D000000}"/>
    <cellStyle name="Input_8. Sochinskaya TTP model" xfId="79" xr:uid="{00000000-0005-0000-0000-00004E000000}"/>
    <cellStyle name="KPMG Heading 1" xfId="80" xr:uid="{00000000-0005-0000-0000-00004F000000}"/>
    <cellStyle name="KPMG Heading 2" xfId="81" xr:uid="{00000000-0005-0000-0000-000050000000}"/>
    <cellStyle name="KPMG Heading 3" xfId="82" xr:uid="{00000000-0005-0000-0000-000051000000}"/>
    <cellStyle name="KPMG Heading 4" xfId="83" xr:uid="{00000000-0005-0000-0000-000052000000}"/>
    <cellStyle name="KPMG Normal" xfId="84" xr:uid="{00000000-0005-0000-0000-000053000000}"/>
    <cellStyle name="KPMG Normal Text" xfId="85" xr:uid="{00000000-0005-0000-0000-000054000000}"/>
    <cellStyle name="KPMG Normal_123" xfId="86" xr:uid="{00000000-0005-0000-0000-000055000000}"/>
    <cellStyle name="Linked Cell" xfId="87" xr:uid="{00000000-0005-0000-0000-000056000000}"/>
    <cellStyle name="Neutral" xfId="88" xr:uid="{00000000-0005-0000-0000-000057000000}"/>
    <cellStyle name="Normal - Style1" xfId="89" xr:uid="{00000000-0005-0000-0000-000058000000}"/>
    <cellStyle name="Normal 2" xfId="90" xr:uid="{00000000-0005-0000-0000-000059000000}"/>
    <cellStyle name="Normal 2 2 2" xfId="91" xr:uid="{00000000-0005-0000-0000-00005A000000}"/>
    <cellStyle name="Normal 2 3" xfId="92" xr:uid="{00000000-0005-0000-0000-00005B000000}"/>
    <cellStyle name="Normal_Copy of IP_Kamhatskenergo_v_formate_RAO" xfId="93" xr:uid="{00000000-0005-0000-0000-00005C000000}"/>
    <cellStyle name="Normal1" xfId="94" xr:uid="{00000000-0005-0000-0000-00005D000000}"/>
    <cellStyle name="normální_Rozvaha - aktiva" xfId="95" xr:uid="{00000000-0005-0000-0000-00005E000000}"/>
    <cellStyle name="Normalny_0" xfId="96" xr:uid="{00000000-0005-0000-0000-00005F000000}"/>
    <cellStyle name="normбlnм_laroux" xfId="97" xr:uid="{00000000-0005-0000-0000-000060000000}"/>
    <cellStyle name="Note" xfId="98" xr:uid="{00000000-0005-0000-0000-000061000000}"/>
    <cellStyle name="Output" xfId="99" xr:uid="{00000000-0005-0000-0000-000062000000}"/>
    <cellStyle name="Percent [2]" xfId="100" xr:uid="{00000000-0005-0000-0000-000063000000}"/>
    <cellStyle name="Price_Body" xfId="101" xr:uid="{00000000-0005-0000-0000-000064000000}"/>
    <cellStyle name="Style 1" xfId="102" xr:uid="{00000000-0005-0000-0000-000065000000}"/>
    <cellStyle name="STYLE1 - Style1" xfId="103" xr:uid="{00000000-0005-0000-0000-000066000000}"/>
    <cellStyle name="Title" xfId="104" xr:uid="{00000000-0005-0000-0000-000067000000}"/>
    <cellStyle name="To" xfId="105" xr:uid="{00000000-0005-0000-0000-000068000000}"/>
    <cellStyle name="Total" xfId="106" xr:uid="{00000000-0005-0000-0000-000069000000}"/>
    <cellStyle name="Währung [0]_laroux" xfId="107" xr:uid="{00000000-0005-0000-0000-00006A000000}"/>
    <cellStyle name="Währung_laroux" xfId="108" xr:uid="{00000000-0005-0000-0000-00006B000000}"/>
    <cellStyle name="Walutowy [0]_1" xfId="109" xr:uid="{00000000-0005-0000-0000-00006C000000}"/>
    <cellStyle name="Walutowy_1" xfId="110" xr:uid="{00000000-0005-0000-0000-00006D000000}"/>
    <cellStyle name="Warning Text" xfId="111" xr:uid="{00000000-0005-0000-0000-00006E000000}"/>
    <cellStyle name="WIP" xfId="112" xr:uid="{00000000-0005-0000-0000-00006F000000}"/>
    <cellStyle name="Zero" xfId="113" xr:uid="{00000000-0005-0000-0000-000070000000}"/>
    <cellStyle name="Беззащитный" xfId="114" xr:uid="{00000000-0005-0000-0000-000071000000}"/>
    <cellStyle name="Гиперссылка" xfId="115" builtinId="8"/>
    <cellStyle name="Денежный 2" xfId="116" xr:uid="{00000000-0005-0000-0000-000073000000}"/>
    <cellStyle name="ЄЄЄ_x0004_ЄЄ" xfId="117" xr:uid="{00000000-0005-0000-0000-000074000000}"/>
    <cellStyle name="Защитный" xfId="118" xr:uid="{00000000-0005-0000-0000-000075000000}"/>
    <cellStyle name="Обычный" xfId="0" builtinId="0"/>
    <cellStyle name="Обычный 10" xfId="119" xr:uid="{00000000-0005-0000-0000-000077000000}"/>
    <cellStyle name="Обычный 2" xfId="120" xr:uid="{00000000-0005-0000-0000-000078000000}"/>
    <cellStyle name="Обычный 2 2" xfId="121" xr:uid="{00000000-0005-0000-0000-000079000000}"/>
    <cellStyle name="Обычный 2 3" xfId="122" xr:uid="{00000000-0005-0000-0000-00007A000000}"/>
    <cellStyle name="Обычный 2 4" xfId="123" xr:uid="{00000000-0005-0000-0000-00007B000000}"/>
    <cellStyle name="Обычный 3" xfId="124" xr:uid="{00000000-0005-0000-0000-00007C000000}"/>
    <cellStyle name="Обычный 3 2" xfId="125" xr:uid="{00000000-0005-0000-0000-00007D000000}"/>
    <cellStyle name="Обычный 3 3" xfId="126" xr:uid="{00000000-0005-0000-0000-00007E000000}"/>
    <cellStyle name="Обычный 4" xfId="127" xr:uid="{00000000-0005-0000-0000-00007F000000}"/>
    <cellStyle name="Обычный 4 2" xfId="128" xr:uid="{00000000-0005-0000-0000-000080000000}"/>
    <cellStyle name="Обычный 4 3" xfId="129" xr:uid="{00000000-0005-0000-0000-000081000000}"/>
    <cellStyle name="Обычный 4_Copy of Финмодель ИРАО 12.05.2010 БП" xfId="130" xr:uid="{00000000-0005-0000-0000-000082000000}"/>
    <cellStyle name="Обычный 5" xfId="131" xr:uid="{00000000-0005-0000-0000-000083000000}"/>
    <cellStyle name="Обычный 8" xfId="132" xr:uid="{00000000-0005-0000-0000-000084000000}"/>
    <cellStyle name="Обычный 9" xfId="133" xr:uid="{00000000-0005-0000-0000-000085000000}"/>
    <cellStyle name="Процентный" xfId="134" builtinId="5"/>
    <cellStyle name="Процентный 2 2" xfId="135" xr:uid="{00000000-0005-0000-0000-000087000000}"/>
    <cellStyle name="Процентный 2 2 2" xfId="136" xr:uid="{00000000-0005-0000-0000-000088000000}"/>
    <cellStyle name="Процентный 2 3" xfId="137" xr:uid="{00000000-0005-0000-0000-000089000000}"/>
    <cellStyle name="Процентный 3 2" xfId="138" xr:uid="{00000000-0005-0000-0000-00008A000000}"/>
    <cellStyle name="Процентный 3 3" xfId="139" xr:uid="{00000000-0005-0000-0000-00008B000000}"/>
    <cellStyle name="Процентный 4 2" xfId="140" xr:uid="{00000000-0005-0000-0000-00008C000000}"/>
    <cellStyle name="Процентный 4 3" xfId="141" xr:uid="{00000000-0005-0000-0000-00008D000000}"/>
    <cellStyle name="Процентный 5 2" xfId="142" xr:uid="{00000000-0005-0000-0000-00008E000000}"/>
    <cellStyle name="Процентный 5 3" xfId="143" xr:uid="{00000000-0005-0000-0000-00008F000000}"/>
    <cellStyle name="Процентный 6 2" xfId="144" xr:uid="{00000000-0005-0000-0000-000090000000}"/>
    <cellStyle name="Процентный 6 3" xfId="145" xr:uid="{00000000-0005-0000-0000-000091000000}"/>
    <cellStyle name="Процентный 7 2" xfId="146" xr:uid="{00000000-0005-0000-0000-000092000000}"/>
    <cellStyle name="Процентный 7 3" xfId="147" xr:uid="{00000000-0005-0000-0000-000093000000}"/>
    <cellStyle name="Стиль 1" xfId="148" xr:uid="{00000000-0005-0000-0000-000094000000}"/>
    <cellStyle name="Тысячи [0]_04" xfId="149" xr:uid="{00000000-0005-0000-0000-000095000000}"/>
    <cellStyle name="Тысячи_04" xfId="150" xr:uid="{00000000-0005-0000-0000-000096000000}"/>
    <cellStyle name="ФормулаНаКонтроль" xfId="151" xr:uid="{00000000-0005-0000-0000-000097000000}"/>
    <cellStyle name="Џђћ–…ќ’ќ›‰" xfId="152" xr:uid="{00000000-0005-0000-0000-000098000000}"/>
    <cellStyle name="㼿㼿㼿㼿㼿㼿㼿㼿㼿?" xfId="153" xr:uid="{00000000-0005-0000-0000-000099000000}"/>
  </cellStyles>
  <dxfs count="7">
    <dxf>
      <numFmt numFmtId="1" formatCode="0"/>
    </dxf>
    <dxf>
      <numFmt numFmtId="1" formatCode="0"/>
      <alignment horizontal="left" vertical="bottom" textRotation="0" wrapText="0" relativeIndent="0" shrinkToFit="0"/>
    </dxf>
    <dxf>
      <alignment horizontal="left" vertical="bottom" textRotation="0" wrapText="0" relativeIndent="0" shrinkToFit="0"/>
    </dxf>
    <dxf>
      <numFmt numFmtId="13" formatCode="0%"/>
      <alignment horizontal="left" vertical="bottom" textRotation="0" wrapText="0" relativeIndent="0" shrinkToFit="0"/>
    </dxf>
    <dxf>
      <alignment horizontal="left" vertical="bottom" textRotation="0" wrapText="0" relativeIndent="0" shrinkToFit="0"/>
    </dxf>
    <dxf>
      <fill>
        <patternFill patternType="lightUp">
          <fgColor theme="3" tint="0.59996337778862885"/>
          <bgColor theme="3" tint="0.59996337778862885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0"/>
                  <c:y val="-3.2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70-4911-B2A8-3DC7D18306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Выручка!$AC$5:$AH$5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Выручка!$AC$37:$AH$37</c:f>
              <c:numCache>
                <c:formatCode>#\ ##0\ ;\(#\ ##0\);\-" "</c:formatCode>
                <c:ptCount val="6"/>
                <c:pt idx="0">
                  <c:v>43.476809774472649</c:v>
                </c:pt>
                <c:pt idx="1">
                  <c:v>4805.5719457649066</c:v>
                </c:pt>
                <c:pt idx="2">
                  <c:v>9962.5816843589346</c:v>
                </c:pt>
                <c:pt idx="3">
                  <c:v>16582.097717772394</c:v>
                </c:pt>
                <c:pt idx="4">
                  <c:v>22834.012531409189</c:v>
                </c:pt>
                <c:pt idx="5">
                  <c:v>24771.12069186911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0-4911-B2A8-3DC7D1830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20312"/>
        <c:axId val="198921880"/>
      </c:barChart>
      <c:catAx>
        <c:axId val="198920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8921880"/>
        <c:crosses val="autoZero"/>
        <c:auto val="1"/>
        <c:lblAlgn val="ctr"/>
        <c:lblOffset val="100"/>
        <c:noMultiLvlLbl val="0"/>
      </c:catAx>
      <c:valAx>
        <c:axId val="198921880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198920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96000000000005E-2"/>
          <c:y val="7.5200000000000003E-2"/>
          <c:w val="0.89628300000000005"/>
          <c:h val="0.514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Графики!$E$201</c:f>
              <c:strCache>
                <c:ptCount val="1"/>
                <c:pt idx="0">
                  <c:v>млн.руб.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Графики!$D$202:$D$204</c:f>
              <c:strCache>
                <c:ptCount val="3"/>
                <c:pt idx="0">
                  <c:v>Инвестиции</c:v>
                </c:pt>
                <c:pt idx="1">
                  <c:v>Оборот компании в последний год планирования (3  года)</c:v>
                </c:pt>
                <c:pt idx="2">
                  <c:v>Стоимость компании на выходе</c:v>
                </c:pt>
              </c:strCache>
            </c:strRef>
          </c:cat>
          <c:val>
            <c:numRef>
              <c:f>Графики!$E$202:$E$204</c:f>
              <c:numCache>
                <c:formatCode>#\ ##0\ ;\(#\ ##0\);\-" "</c:formatCode>
                <c:ptCount val="3"/>
                <c:pt idx="0">
                  <c:v>3.5220836867836005</c:v>
                </c:pt>
                <c:pt idx="1">
                  <c:v>3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C-4E8E-B402-C504623B6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25672"/>
        <c:axId val="268209672"/>
      </c:barChart>
      <c:catAx>
        <c:axId val="267925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268209672"/>
        <c:crosses val="autoZero"/>
        <c:auto val="1"/>
        <c:lblAlgn val="ctr"/>
        <c:lblOffset val="100"/>
        <c:noMultiLvlLbl val="0"/>
      </c:catAx>
      <c:valAx>
        <c:axId val="268209672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267925672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8607100000000005"/>
          <c:y val="0.87110299999999996"/>
          <c:w val="8.5908999999999999E-2"/>
          <c:h val="0.10864600000000001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543000000000005"/>
          <c:y val="5.0895999999999997E-2"/>
          <c:w val="0.44685999999999998"/>
          <c:h val="0.837890000000000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Графики!$A$239:$A$248</c:f>
              <c:strCache>
                <c:ptCount val="10"/>
                <c:pt idx="0">
                  <c:v>Управление внешними динамиками и аудиосистемами</c:v>
                </c:pt>
                <c:pt idx="1">
                  <c:v>Системы повышения энергоэффективности </c:v>
                </c:pt>
                <c:pt idx="2">
                  <c:v>Встроенная система удаления пыли</c:v>
                </c:pt>
                <c:pt idx="3">
                  <c:v>Мультизональные системы вентиляции и кондиционирования</c:v>
                </c:pt>
                <c:pt idx="4">
                  <c:v>Домашние кинотеатры </c:v>
                </c:pt>
                <c:pt idx="5">
                  <c:v>Система управления освещением</c:v>
                </c:pt>
                <c:pt idx="6">
                  <c:v>Домашние беспроводные аудиосистемы</c:v>
                </c:pt>
                <c:pt idx="7">
                  <c:v>Камеры видеонаблюдения</c:v>
                </c:pt>
                <c:pt idx="8">
                  <c:v>Программируемые термостаты</c:v>
                </c:pt>
                <c:pt idx="9">
                  <c:v>Беспроводная система безопасности</c:v>
                </c:pt>
              </c:strCache>
            </c:strRef>
          </c:cat>
          <c:val>
            <c:numRef>
              <c:f>Графики!$B$239:$B$248</c:f>
              <c:numCache>
                <c:formatCode>0%</c:formatCode>
                <c:ptCount val="10"/>
                <c:pt idx="0">
                  <c:v>0.31</c:v>
                </c:pt>
                <c:pt idx="1">
                  <c:v>0.32</c:v>
                </c:pt>
                <c:pt idx="2">
                  <c:v>0.34</c:v>
                </c:pt>
                <c:pt idx="3">
                  <c:v>0.37</c:v>
                </c:pt>
                <c:pt idx="4">
                  <c:v>0.37</c:v>
                </c:pt>
                <c:pt idx="5">
                  <c:v>0.39</c:v>
                </c:pt>
                <c:pt idx="6">
                  <c:v>0.39</c:v>
                </c:pt>
                <c:pt idx="7">
                  <c:v>0.4</c:v>
                </c:pt>
                <c:pt idx="8">
                  <c:v>0.47</c:v>
                </c:pt>
                <c:pt idx="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8-46BB-9F0D-9FC799AEF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02616"/>
        <c:axId val="268208888"/>
      </c:barChart>
      <c:catAx>
        <c:axId val="268202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8208888"/>
        <c:crosses val="autoZero"/>
        <c:auto val="1"/>
        <c:lblAlgn val="ctr"/>
        <c:lblOffset val="100"/>
        <c:noMultiLvlLbl val="0"/>
      </c:catAx>
      <c:valAx>
        <c:axId val="2682088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68202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775E-2"/>
          <c:y val="0.19831299999999999"/>
          <c:w val="0.35042299999999998"/>
          <c:h val="0.56730800000000003"/>
        </c:manualLayout>
      </c:layout>
      <c:pieChart>
        <c:varyColors val="1"/>
        <c:ser>
          <c:idx val="0"/>
          <c:order val="0"/>
          <c:tx>
            <c:strRef>
              <c:f>Графики!$B$39</c:f>
              <c:strCache>
                <c:ptCount val="1"/>
                <c:pt idx="0">
                  <c:v>Объем инвестиций, тыс. руб.</c:v>
                </c:pt>
              </c:strCache>
            </c:strRef>
          </c:tx>
          <c:dPt>
            <c:idx val="0"/>
            <c:bubble3D val="0"/>
            <c:explosion val="9"/>
            <c:extLst>
              <c:ext xmlns:c16="http://schemas.microsoft.com/office/drawing/2014/chart" uri="{C3380CC4-5D6E-409C-BE32-E72D297353CC}">
                <c16:uniqueId val="{00000000-3B1C-4090-B7E0-DFF47191B4A6}"/>
              </c:ext>
            </c:extLst>
          </c:dPt>
          <c:dLbls>
            <c:dLbl>
              <c:idx val="0"/>
              <c:layout>
                <c:manualLayout>
                  <c:x val="-0.13537099999999999"/>
                  <c:y val="-0.1958979999999999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C-4090-B7E0-DFF47191B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Графики!$A$40:$A$41</c:f>
              <c:strCache>
                <c:ptCount val="2"/>
                <c:pt idx="0">
                  <c:v>XXX</c:v>
                </c:pt>
                <c:pt idx="1">
                  <c:v>Частный инвестор</c:v>
                </c:pt>
              </c:strCache>
            </c:strRef>
          </c:cat>
          <c:val>
            <c:numRef>
              <c:f>Графики!$B$40:$B$41</c:f>
              <c:numCache>
                <c:formatCode>#\ ##0.0</c:formatCode>
                <c:ptCount val="2"/>
                <c:pt idx="0">
                  <c:v>2.6415627650877003</c:v>
                </c:pt>
                <c:pt idx="1">
                  <c:v>0.88052092169590013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C-4090-B7E0-DFF47191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31453999999999999"/>
          <c:y val="0.75024999999999997"/>
          <c:w val="0.59273200000000004"/>
          <c:h val="0.56653699999999996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296000000000002E-2"/>
          <c:y val="0.17214299999999999"/>
          <c:w val="0.33672000000000002"/>
          <c:h val="0.59594100000000005"/>
        </c:manualLayout>
      </c:layout>
      <c:pieChart>
        <c:varyColors val="1"/>
        <c:ser>
          <c:idx val="0"/>
          <c:order val="0"/>
          <c:tx>
            <c:strRef>
              <c:f>Графики!$C$39</c:f>
              <c:strCache>
                <c:ptCount val="1"/>
                <c:pt idx="0">
                  <c:v>Доля в УК проекта, %</c:v>
                </c:pt>
              </c:strCache>
            </c:strRef>
          </c:tx>
          <c:explosion val="10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ED9E-412B-B81E-5518D0D833A5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ED9E-412B-B81E-5518D0D833A5}"/>
              </c:ext>
            </c:extLst>
          </c:dPt>
          <c:dPt>
            <c:idx val="2"/>
            <c:bubble3D val="0"/>
            <c:explosion val="0"/>
            <c:spPr>
              <a:prstGeom prst="rect">
                <a:avLst/>
              </a:prstGeom>
              <a:solidFill>
                <a:schemeClr val="accent4">
                  <a:lumMod val="75000"/>
                  <a:lumOff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D9E-412B-B81E-5518D0D833A5}"/>
              </c:ext>
            </c:extLst>
          </c:dPt>
          <c:dLbls>
            <c:dLbl>
              <c:idx val="0"/>
              <c:layout>
                <c:manualLayout>
                  <c:x val="-0.107991"/>
                  <c:y val="0.1312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9E-412B-B81E-5518D0D833A5}"/>
                </c:ext>
              </c:extLst>
            </c:dLbl>
            <c:dLbl>
              <c:idx val="1"/>
              <c:layout>
                <c:manualLayout>
                  <c:x val="4.5849999999999997E-3"/>
                  <c:y val="7.8322000000000003E-2"/>
                </c:manualLayout>
              </c:layout>
              <c:spPr/>
              <c:txPr>
                <a:bodyPr/>
                <a:lstStyle/>
                <a:p>
                  <a:pPr>
                    <a:defRPr sz="16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9E-412B-B81E-5518D0D833A5}"/>
                </c:ext>
              </c:extLst>
            </c:dLbl>
            <c:dLbl>
              <c:idx val="2"/>
              <c:layout>
                <c:manualLayout>
                  <c:x val="8.2706000000000002E-2"/>
                  <c:y val="-7.52160000000000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9E-412B-B81E-5518D0D83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Графики!$A$40:$A$42</c:f>
              <c:strCache>
                <c:ptCount val="3"/>
                <c:pt idx="0">
                  <c:v>XXX</c:v>
                </c:pt>
                <c:pt idx="1">
                  <c:v>Частный инвестор</c:v>
                </c:pt>
                <c:pt idx="2">
                  <c:v>Инициатор проекта</c:v>
                </c:pt>
              </c:strCache>
            </c:strRef>
          </c:cat>
          <c:val>
            <c:numRef>
              <c:f>Графики!$C$40:$C$42</c:f>
              <c:numCache>
                <c:formatCode>0.00%</c:formatCode>
                <c:ptCount val="3"/>
                <c:pt idx="0" formatCode="0%">
                  <c:v>0.25</c:v>
                </c:pt>
                <c:pt idx="1">
                  <c:v>8.340000000000003E-2</c:v>
                </c:pt>
                <c:pt idx="2">
                  <c:v>0.66659999999999997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9E-412B-B81E-5518D0D83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155999999999996"/>
          <c:y val="0.21254999999999999"/>
          <c:w val="0.42047299999999999"/>
          <c:h val="0.53247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Графики!$I$22:$N$22</c:f>
              <c:numCache>
                <c:formatCode>#\ ##0\ ;\(#\ ##0\);\-" "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Графики!$I$24:$N$24</c:f>
              <c:numCache>
                <c:formatCode>#\ ##0\ ;\(#\ ##0\);\-" "</c:formatCode>
                <c:ptCount val="6"/>
                <c:pt idx="0">
                  <c:v>17702.205350616125</c:v>
                </c:pt>
                <c:pt idx="1">
                  <c:v>24079.157048689922</c:v>
                </c:pt>
                <c:pt idx="2">
                  <c:v>29232.344101331702</c:v>
                </c:pt>
                <c:pt idx="3">
                  <c:v>31848.743596226475</c:v>
                </c:pt>
                <c:pt idx="4">
                  <c:v>33340.86466866175</c:v>
                </c:pt>
                <c:pt idx="5">
                  <c:v>34877.76748587656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4-493D-B371-577E411C6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19136"/>
        <c:axId val="198919528"/>
      </c:barChart>
      <c:catAx>
        <c:axId val="198919136"/>
        <c:scaling>
          <c:orientation val="minMax"/>
        </c:scaling>
        <c:delete val="0"/>
        <c:axPos val="b"/>
        <c:numFmt formatCode="#\ ##0\ ;\(#\ ##0\);\-&quot; &quot;" sourceLinked="1"/>
        <c:majorTickMark val="out"/>
        <c:minorTickMark val="none"/>
        <c:tickLblPos val="nextTo"/>
        <c:crossAx val="198919528"/>
        <c:crosses val="autoZero"/>
        <c:auto val="1"/>
        <c:lblAlgn val="ctr"/>
        <c:lblOffset val="100"/>
        <c:noMultiLvlLbl val="0"/>
      </c:catAx>
      <c:valAx>
        <c:axId val="198919528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19891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1"/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Выручка!$AC$5:$AH$5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Выручка!$AC$22:$AH$22</c:f>
              <c:numCache>
                <c:formatCode>#\ ##0\ ;\(#\ ##0\);\-" "</c:formatCode>
                <c:ptCount val="6"/>
                <c:pt idx="0">
                  <c:v>100</c:v>
                </c:pt>
                <c:pt idx="1">
                  <c:v>1227.6923076923076</c:v>
                </c:pt>
                <c:pt idx="2">
                  <c:v>2261.5384615384614</c:v>
                </c:pt>
                <c:pt idx="3">
                  <c:v>3295.3846153846152</c:v>
                </c:pt>
                <c:pt idx="4">
                  <c:v>4135.3846153846152</c:v>
                </c:pt>
                <c:pt idx="5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4-42F2-962A-C4CDA05266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993360"/>
        <c:axId val="198991008"/>
      </c:barChart>
      <c:catAx>
        <c:axId val="1989933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8991008"/>
        <c:crosses val="autoZero"/>
        <c:auto val="1"/>
        <c:lblAlgn val="ctr"/>
        <c:lblOffset val="100"/>
        <c:noMultiLvlLbl val="0"/>
      </c:catAx>
      <c:valAx>
        <c:axId val="198991008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19899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/>
              <a:t>Плановый квартальный объем реализации, шт </a:t>
            </a:r>
            <a:endParaRPr lang="ru-RU" sz="1200"/>
          </a:p>
        </c:rich>
      </c:tx>
      <c:layout>
        <c:manualLayout>
          <c:xMode val="edge"/>
          <c:yMode val="edge"/>
          <c:x val="0.13286100000000001"/>
          <c:y val="2.7754999999999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36399999999999"/>
          <c:y val="0.25293500000000002"/>
          <c:w val="0.485655"/>
          <c:h val="0.53249100000000005"/>
        </c:manualLayout>
      </c:layout>
      <c:pieChart>
        <c:varyColors val="1"/>
        <c:ser>
          <c:idx val="0"/>
          <c:order val="0"/>
          <c:dLbls>
            <c:dLbl>
              <c:idx val="2"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B8E-4085-8DF4-5E5CDD7B1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Предположения!$A$26:$A$29</c:f>
              <c:strCache>
                <c:ptCount val="1"/>
                <c:pt idx="0">
                  <c:v>Приточный клапан</c:v>
                </c:pt>
              </c:strCache>
            </c:strRef>
          </c:cat>
          <c:val>
            <c:numRef>
              <c:f>Предположения!$C$26:$C$29</c:f>
              <c:numCache>
                <c:formatCode>#\ ##0\ ;\(#\ ##0\);\-" "</c:formatCode>
                <c:ptCount val="4"/>
                <c:pt idx="0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E-4085-8DF4-5E5CDD7B1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"/>
          <c:y val="0.78909300000000004"/>
          <c:w val="0.97823099999999996"/>
          <c:h val="0.178146"/>
        </c:manualLayout>
      </c:layout>
      <c:overlay val="0"/>
      <c:txPr>
        <a:bodyPr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Графики!$A$68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Графики!$B$68:$G$68</c:f>
              <c:numCache>
                <c:formatCode>#\ ##0\ ;\(#\ ##0\);\-" "</c:formatCode>
                <c:ptCount val="6"/>
                <c:pt idx="0">
                  <c:v>4.3476809774472651E-2</c:v>
                </c:pt>
                <c:pt idx="1">
                  <c:v>4.8055719457649069</c:v>
                </c:pt>
                <c:pt idx="2">
                  <c:v>9.9625816843589341</c:v>
                </c:pt>
                <c:pt idx="3">
                  <c:v>16.582097717772395</c:v>
                </c:pt>
                <c:pt idx="4">
                  <c:v>22.83401253140919</c:v>
                </c:pt>
                <c:pt idx="5">
                  <c:v>24.771120691869111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D-4653-8475-DF269D489A98}"/>
            </c:ext>
          </c:extLst>
        </c:ser>
        <c:ser>
          <c:idx val="1"/>
          <c:order val="1"/>
          <c:tx>
            <c:strRef>
              <c:f>Графики!$A$69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Графики!$B$69:$G$69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D-4653-8475-DF269D489A98}"/>
            </c:ext>
          </c:extLst>
        </c:ser>
        <c:ser>
          <c:idx val="2"/>
          <c:order val="2"/>
          <c:tx>
            <c:strRef>
              <c:f>Графики!$A$70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Графики!$B$70:$G$70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D-4653-8475-DF269D489A98}"/>
            </c:ext>
          </c:extLst>
        </c:ser>
        <c:ser>
          <c:idx val="3"/>
          <c:order val="3"/>
          <c:tx>
            <c:strRef>
              <c:f>Графики!$A$71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Графики!$B$71:$G$71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7D-4653-8475-DF269D489A98}"/>
            </c:ext>
          </c:extLst>
        </c:ser>
        <c:ser>
          <c:idx val="4"/>
          <c:order val="4"/>
          <c:tx>
            <c:strRef>
              <c:f>Графики!$A$72</c:f>
              <c:strCache>
                <c:ptCount val="1"/>
                <c:pt idx="0">
                  <c:v>Итого выручка от реализации</c:v>
                </c:pt>
              </c:strCache>
            </c:strRef>
          </c:tx>
          <c:spPr>
            <a:prstGeom prst="rect">
              <a:avLst/>
            </a:prstGeom>
            <a:noFill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Графики!$B$72:$G$72</c:f>
              <c:numCache>
                <c:formatCode>#\ ##0\ ;\(#\ ##0\);\-" "</c:formatCode>
                <c:ptCount val="6"/>
                <c:pt idx="0">
                  <c:v>4.3476809774472651E-2</c:v>
                </c:pt>
                <c:pt idx="1">
                  <c:v>4.8055719457649069</c:v>
                </c:pt>
                <c:pt idx="2">
                  <c:v>9.9625816843589341</c:v>
                </c:pt>
                <c:pt idx="3">
                  <c:v>16.582097717772395</c:v>
                </c:pt>
                <c:pt idx="4">
                  <c:v>22.83401253140919</c:v>
                </c:pt>
                <c:pt idx="5">
                  <c:v>24.771120691869111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D-4653-8475-DF269D489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927632"/>
        <c:axId val="267923320"/>
      </c:barChart>
      <c:catAx>
        <c:axId val="267927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3320"/>
        <c:crosses val="autoZero"/>
        <c:auto val="1"/>
        <c:lblAlgn val="ctr"/>
        <c:lblOffset val="100"/>
        <c:noMultiLvlLbl val="0"/>
      </c:catAx>
      <c:valAx>
        <c:axId val="267923320"/>
        <c:scaling>
          <c:orientation val="minMax"/>
          <c:max val="40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7632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Графики!$A$107</c:f>
              <c:strCache>
                <c:ptCount val="1"/>
                <c:pt idx="0">
                  <c:v>Производственный персонал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Графики!$B$107:$G$107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6-4912-A909-0289079E54D0}"/>
            </c:ext>
          </c:extLst>
        </c:ser>
        <c:ser>
          <c:idx val="1"/>
          <c:order val="1"/>
          <c:tx>
            <c:strRef>
              <c:f>Графики!$A$108</c:f>
              <c:strCache>
                <c:ptCount val="1"/>
                <c:pt idx="0">
                  <c:v>Административный персонал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Графики!$B$108:$G$108</c:f>
              <c:numCache>
                <c:formatCode>#\ ##0\ ;\(#\ ##0\);\-" "</c:formatCode>
                <c:ptCount val="6"/>
                <c:pt idx="0">
                  <c:v>3.4275150000000005</c:v>
                </c:pt>
                <c:pt idx="1">
                  <c:v>4.5700200000000004</c:v>
                </c:pt>
                <c:pt idx="2">
                  <c:v>4.5700200000000004</c:v>
                </c:pt>
                <c:pt idx="3">
                  <c:v>4.5700200000000004</c:v>
                </c:pt>
                <c:pt idx="4">
                  <c:v>4.5700200000000004</c:v>
                </c:pt>
                <c:pt idx="5">
                  <c:v>4.5700200000000004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6-4912-A909-0289079E54D0}"/>
            </c:ext>
          </c:extLst>
        </c:ser>
        <c:ser>
          <c:idx val="2"/>
          <c:order val="2"/>
          <c:tx>
            <c:strRef>
              <c:f>Графики!$A$109</c:f>
              <c:strCache>
                <c:ptCount val="1"/>
                <c:pt idx="0">
                  <c:v>Коммерческий персонал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Графики!$B$109:$G$109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6-4912-A909-0289079E54D0}"/>
            </c:ext>
          </c:extLst>
        </c:ser>
        <c:ser>
          <c:idx val="4"/>
          <c:order val="3"/>
          <c:tx>
            <c:strRef>
              <c:f>Графики!$A$110</c:f>
              <c:strCache>
                <c:ptCount val="1"/>
                <c:pt idx="0">
                  <c:v>Бонусы</c:v>
                </c:pt>
              </c:strCache>
            </c:strRef>
          </c:tx>
          <c:invertIfNegative val="0"/>
          <c:val>
            <c:numRef>
              <c:f>Графики!$B$110:$G$110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6-4912-A909-0289079E54D0}"/>
            </c:ext>
          </c:extLst>
        </c:ser>
        <c:ser>
          <c:idx val="3"/>
          <c:order val="4"/>
          <c:tx>
            <c:strRef>
              <c:f>Графики!$A$111</c:f>
              <c:strCache>
                <c:ptCount val="1"/>
                <c:pt idx="0">
                  <c:v>Итого ФОТ</c:v>
                </c:pt>
              </c:strCache>
            </c:strRef>
          </c:tx>
          <c:spPr>
            <a:prstGeom prst="rect">
              <a:avLst/>
            </a:prstGeom>
            <a:noFill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881935"/>
                </a:solidFill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Графики!$B$111:$G$111</c:f>
              <c:numCache>
                <c:formatCode>#\ ##0\ ;\(#\ ##0\);\-" "</c:formatCode>
                <c:ptCount val="6"/>
                <c:pt idx="0">
                  <c:v>3.4275150000000005</c:v>
                </c:pt>
                <c:pt idx="1">
                  <c:v>4.5700200000000004</c:v>
                </c:pt>
                <c:pt idx="2">
                  <c:v>4.5700200000000004</c:v>
                </c:pt>
                <c:pt idx="3">
                  <c:v>4.5700200000000004</c:v>
                </c:pt>
                <c:pt idx="4">
                  <c:v>4.5700200000000004</c:v>
                </c:pt>
                <c:pt idx="5">
                  <c:v>4.5700200000000004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D6-4912-A909-0289079E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926064"/>
        <c:axId val="267923712"/>
      </c:barChart>
      <c:catAx>
        <c:axId val="267926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3712"/>
        <c:crosses val="autoZero"/>
        <c:auto val="1"/>
        <c:lblAlgn val="ctr"/>
        <c:lblOffset val="100"/>
        <c:noMultiLvlLbl val="0"/>
      </c:catAx>
      <c:valAx>
        <c:axId val="267923712"/>
        <c:scaling>
          <c:orientation val="minMax"/>
          <c:max val="42"/>
          <c:min val="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6064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Графики!$A$132</c:f>
              <c:strCache>
                <c:ptCount val="1"/>
                <c:pt idx="0">
                  <c:v>Затраты на комплектующие и упаковку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Графики!$B$132:$G$132</c:f>
              <c:numCache>
                <c:formatCode>#\ ##0\ ;\(#\ ##0\);\-" "</c:formatCode>
                <c:ptCount val="6"/>
                <c:pt idx="0">
                  <c:v>3.9129128797025382E-2</c:v>
                </c:pt>
                <c:pt idx="1">
                  <c:v>2.1625073755942079</c:v>
                </c:pt>
                <c:pt idx="2">
                  <c:v>4.4831617579615211</c:v>
                </c:pt>
                <c:pt idx="3">
                  <c:v>7.4619439729975801</c:v>
                </c:pt>
                <c:pt idx="4">
                  <c:v>10.275305639134139</c:v>
                </c:pt>
                <c:pt idx="5">
                  <c:v>11.147004311341101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0-430C-A0F6-796C2555DA1A}"/>
            </c:ext>
          </c:extLst>
        </c:ser>
        <c:ser>
          <c:idx val="1"/>
          <c:order val="1"/>
          <c:tx>
            <c:strRef>
              <c:f>Графики!$A$133</c:f>
              <c:strCache>
                <c:ptCount val="1"/>
                <c:pt idx="0">
                  <c:v>ФОТ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Графики!$B$133:$G$133</c:f>
              <c:numCache>
                <c:formatCode>#\ ##0\ ;\(#\ ##0\);\-" "</c:formatCode>
                <c:ptCount val="6"/>
                <c:pt idx="0">
                  <c:v>3.4275150000000005</c:v>
                </c:pt>
                <c:pt idx="1">
                  <c:v>4.5700200000000004</c:v>
                </c:pt>
                <c:pt idx="2">
                  <c:v>4.5700200000000004</c:v>
                </c:pt>
                <c:pt idx="3">
                  <c:v>4.5700200000000004</c:v>
                </c:pt>
                <c:pt idx="4">
                  <c:v>4.5700200000000004</c:v>
                </c:pt>
                <c:pt idx="5">
                  <c:v>4.5700200000000004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0-430C-A0F6-796C2555DA1A}"/>
            </c:ext>
          </c:extLst>
        </c:ser>
        <c:ser>
          <c:idx val="2"/>
          <c:order val="2"/>
          <c:tx>
            <c:strRef>
              <c:f>Графики!$A$134</c:f>
              <c:strCache>
                <c:ptCount val="1"/>
                <c:pt idx="0">
                  <c:v>Расходы на маркетинг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Графики!$B$134:$G$134</c:f>
              <c:numCache>
                <c:formatCode>#\ ##0\ ;\(#\ ##0\);\-" "</c:formatCode>
                <c:ptCount val="6"/>
                <c:pt idx="0">
                  <c:v>3.2311710589432385E-2</c:v>
                </c:pt>
                <c:pt idx="1">
                  <c:v>4.8093157598109074E-2</c:v>
                </c:pt>
                <c:pt idx="2">
                  <c:v>5.4300477665657508E-2</c:v>
                </c:pt>
                <c:pt idx="3">
                  <c:v>6.2087300309457819E-2</c:v>
                </c:pt>
                <c:pt idx="4">
                  <c:v>6.8334841021110315E-2</c:v>
                </c:pt>
                <c:pt idx="5">
                  <c:v>7.3021444216394171E-2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0-430C-A0F6-796C2555DA1A}"/>
            </c:ext>
          </c:extLst>
        </c:ser>
        <c:ser>
          <c:idx val="3"/>
          <c:order val="3"/>
          <c:tx>
            <c:strRef>
              <c:f>Графики!$A$135</c:f>
              <c:strCache>
                <c:ptCount val="1"/>
                <c:pt idx="0">
                  <c:v>Прочие переменные затраты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Графики!$B$135:$G$135</c:f>
              <c:numCache>
                <c:formatCode>#\ ##0\ ;\(#\ ##0\);\-" "</c:formatCode>
                <c:ptCount val="6"/>
                <c:pt idx="0">
                  <c:v>1.3043042932341796E-3</c:v>
                </c:pt>
                <c:pt idx="1">
                  <c:v>0.14416715837294719</c:v>
                </c:pt>
                <c:pt idx="2">
                  <c:v>0.29887745053076803</c:v>
                </c:pt>
                <c:pt idx="3">
                  <c:v>0.49746293153317184</c:v>
                </c:pt>
                <c:pt idx="4">
                  <c:v>0.68502037594227572</c:v>
                </c:pt>
                <c:pt idx="5">
                  <c:v>0.74313362075607337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D0-430C-A0F6-796C2555DA1A}"/>
            </c:ext>
          </c:extLst>
        </c:ser>
        <c:ser>
          <c:idx val="4"/>
          <c:order val="4"/>
          <c:tx>
            <c:strRef>
              <c:f>Графики!$A$136</c:f>
              <c:strCache>
                <c:ptCount val="1"/>
                <c:pt idx="0">
                  <c:v>Затраты на логистику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Графики!$B$136:$G$136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D0-430C-A0F6-796C2555DA1A}"/>
            </c:ext>
          </c:extLst>
        </c:ser>
        <c:ser>
          <c:idx val="5"/>
          <c:order val="5"/>
          <c:tx>
            <c:strRef>
              <c:f>Графики!$A$137</c:f>
              <c:strCache>
                <c:ptCount val="1"/>
                <c:pt idx="0">
                  <c:v>Аренда офиса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Графики!$B$137:$G$137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D0-430C-A0F6-796C2555DA1A}"/>
            </c:ext>
          </c:extLst>
        </c:ser>
        <c:ser>
          <c:idx val="6"/>
          <c:order val="6"/>
          <c:tx>
            <c:strRef>
              <c:f>Графики!$A$138</c:f>
              <c:strCache>
                <c:ptCount val="1"/>
                <c:pt idx="0">
                  <c:v>Командировки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Графики!$B$138:$G$138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D0-430C-A0F6-796C2555DA1A}"/>
            </c:ext>
          </c:extLst>
        </c:ser>
        <c:ser>
          <c:idx val="7"/>
          <c:order val="7"/>
          <c:tx>
            <c:strRef>
              <c:f>Графики!$A$139</c:f>
              <c:strCache>
                <c:ptCount val="1"/>
                <c:pt idx="0">
                  <c:v>Налог на имущество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Графики!$B$139:$G$139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D0-430C-A0F6-796C2555DA1A}"/>
            </c:ext>
          </c:extLst>
        </c:ser>
        <c:ser>
          <c:idx val="8"/>
          <c:order val="8"/>
          <c:tx>
            <c:strRef>
              <c:f>Графики!$A$140</c:f>
              <c:strCache>
                <c:ptCount val="1"/>
                <c:pt idx="0">
                  <c:v>Затраты на лицензию ПО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Графики!$B$140:$G$140</c:f>
              <c:numCache>
                <c:formatCode>#\ ##0\ ;\(#\ ##0\);\-" "</c:formatCode>
                <c:ptCount val="6"/>
                <c:pt idx="0">
                  <c:v>1.9399999999999997E-2</c:v>
                </c:pt>
                <c:pt idx="1">
                  <c:v>1.9399999999999997E-2</c:v>
                </c:pt>
                <c:pt idx="2">
                  <c:v>1.9399999999999997E-2</c:v>
                </c:pt>
                <c:pt idx="3">
                  <c:v>1.9399999999999997E-2</c:v>
                </c:pt>
                <c:pt idx="4">
                  <c:v>1.9399999999999997E-2</c:v>
                </c:pt>
                <c:pt idx="5">
                  <c:v>1.9399999999999997E-2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D0-430C-A0F6-796C2555DA1A}"/>
            </c:ext>
          </c:extLst>
        </c:ser>
        <c:ser>
          <c:idx val="9"/>
          <c:order val="9"/>
          <c:tx>
            <c:strRef>
              <c:f>Графики!$A$141</c:f>
              <c:strCache>
                <c:ptCount val="1"/>
                <c:pt idx="0">
                  <c:v>Итого затраты</c:v>
                </c:pt>
              </c:strCache>
            </c:strRef>
          </c:tx>
          <c:spPr>
            <a:prstGeom prst="rect">
              <a:avLst/>
            </a:prstGeom>
            <a:noFill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Графики!$B$141:$G$141</c:f>
              <c:numCache>
                <c:formatCode>#\ ##0\ ;\(#\ ##0\);\-" "</c:formatCode>
                <c:ptCount val="6"/>
                <c:pt idx="0">
                  <c:v>3.519660143679693</c:v>
                </c:pt>
                <c:pt idx="1">
                  <c:v>6.9441876915652649</c:v>
                </c:pt>
                <c:pt idx="2">
                  <c:v>9.4257596861579458</c:v>
                </c:pt>
                <c:pt idx="3">
                  <c:v>12.610914204840208</c:v>
                </c:pt>
                <c:pt idx="4">
                  <c:v>15.618080856097524</c:v>
                </c:pt>
                <c:pt idx="5">
                  <c:v>16.55257937631357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D0-430C-A0F6-796C2555D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928416"/>
        <c:axId val="267928024"/>
      </c:barChart>
      <c:catAx>
        <c:axId val="2679284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8024"/>
        <c:crosses val="autoZero"/>
        <c:auto val="1"/>
        <c:lblAlgn val="ctr"/>
        <c:lblOffset val="100"/>
        <c:noMultiLvlLbl val="0"/>
      </c:catAx>
      <c:valAx>
        <c:axId val="267928024"/>
        <c:scaling>
          <c:orientation val="minMax"/>
          <c:max val="220"/>
          <c:min val="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8416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Графики!$A$163</c:f>
              <c:strCache>
                <c:ptCount val="1"/>
                <c:pt idx="0">
                  <c:v>Выручка проекта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Графики!$B$163:$G$163</c:f>
              <c:numCache>
                <c:formatCode>#\ ##0\ ;\(#\ ##0\);\-" "</c:formatCode>
                <c:ptCount val="6"/>
                <c:pt idx="0">
                  <c:v>4.3476809774472651E-2</c:v>
                </c:pt>
                <c:pt idx="1">
                  <c:v>4.8055719457649069</c:v>
                </c:pt>
                <c:pt idx="2">
                  <c:v>9.9625816843589341</c:v>
                </c:pt>
                <c:pt idx="3">
                  <c:v>16.582097717772395</c:v>
                </c:pt>
                <c:pt idx="4">
                  <c:v>22.83401253140919</c:v>
                </c:pt>
                <c:pt idx="5">
                  <c:v>24.771120691869111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E-44B7-969C-FACEDA7B2614}"/>
            </c:ext>
          </c:extLst>
        </c:ser>
        <c:ser>
          <c:idx val="1"/>
          <c:order val="1"/>
          <c:tx>
            <c:strRef>
              <c:f>Графики!$A$162</c:f>
              <c:strCache>
                <c:ptCount val="1"/>
                <c:pt idx="0">
                  <c:v>Затраты проекта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Графики!$B$162:$G$162</c:f>
              <c:numCache>
                <c:formatCode>#\ ##0\ ;\(#\ ##0\);\-" "</c:formatCode>
                <c:ptCount val="6"/>
                <c:pt idx="0">
                  <c:v>3.519660143679693</c:v>
                </c:pt>
                <c:pt idx="1">
                  <c:v>6.9441876915652649</c:v>
                </c:pt>
                <c:pt idx="2">
                  <c:v>9.4257596861579458</c:v>
                </c:pt>
                <c:pt idx="3">
                  <c:v>12.610914204840208</c:v>
                </c:pt>
                <c:pt idx="4">
                  <c:v>15.618080856097524</c:v>
                </c:pt>
                <c:pt idx="5">
                  <c:v>16.55257937631357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E-44B7-969C-FACEDA7B2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26848"/>
        <c:axId val="267924888"/>
      </c:barChart>
      <c:lineChart>
        <c:grouping val="standard"/>
        <c:varyColors val="0"/>
        <c:ser>
          <c:idx val="2"/>
          <c:order val="2"/>
          <c:tx>
            <c:strRef>
              <c:f>Графики!$A$164</c:f>
              <c:strCache>
                <c:ptCount val="1"/>
                <c:pt idx="0">
                  <c:v>EBITDA margin, %</c:v>
                </c:pt>
              </c:strCache>
            </c:strRef>
          </c:tx>
          <c:spPr>
            <a:prstGeom prst="rect">
              <a:avLst/>
            </a:prstGeom>
            <a:ln w="22225">
              <a:solidFill>
                <a:schemeClr val="accent1"/>
              </a:solidFill>
            </a:ln>
          </c:spPr>
          <c:marker>
            <c:symbol val="diamond"/>
            <c:size val="8"/>
            <c:spPr>
              <a:prstGeom prst="rect">
                <a:avLst/>
              </a:prstGeom>
              <a:solidFill>
                <a:schemeClr val="tx2"/>
              </a:solidFill>
            </c:spPr>
          </c:marker>
          <c:dLbls>
            <c:dLbl>
              <c:idx val="1"/>
              <c:layout>
                <c:manualLayout>
                  <c:x val="-7.8592999999999996E-2"/>
                  <c:y val="-6.5972000000000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E-44B7-969C-FACEDA7B261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881935"/>
                </a:solidFill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val>
            <c:numRef>
              <c:f>Графики!$B$164:$G$164</c:f>
              <c:numCache>
                <c:formatCode>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8E-44B7-969C-FACEDA7B2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21360"/>
        <c:axId val="267927240"/>
      </c:lineChart>
      <c:catAx>
        <c:axId val="267926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4888"/>
        <c:crosses val="autoZero"/>
        <c:auto val="1"/>
        <c:lblAlgn val="ctr"/>
        <c:lblOffset val="100"/>
        <c:noMultiLvlLbl val="0"/>
      </c:catAx>
      <c:valAx>
        <c:axId val="267924888"/>
        <c:scaling>
          <c:orientation val="minMax"/>
          <c:max val="50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6848"/>
        <c:crosses val="autoZero"/>
        <c:crossBetween val="between"/>
      </c:valAx>
      <c:valAx>
        <c:axId val="2679272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267921360"/>
        <c:crosses val="max"/>
        <c:crossBetween val="between"/>
      </c:valAx>
      <c:catAx>
        <c:axId val="267921360"/>
        <c:scaling>
          <c:orientation val="minMax"/>
        </c:scaling>
        <c:delete val="1"/>
        <c:axPos val="b"/>
        <c:majorTickMark val="out"/>
        <c:minorTickMark val="none"/>
        <c:tickLblPos val="none"/>
        <c:crossAx val="2679272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24999999999998E-2"/>
          <c:y val="4.2229000000000003E-2"/>
          <c:w val="0.66632400000000003"/>
          <c:h val="0.8654939999999999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Графики!$A$161</c:f>
              <c:strCache>
                <c:ptCount val="1"/>
                <c:pt idx="0">
                  <c:v>Инвестиции</c:v>
                </c:pt>
              </c:strCache>
            </c:strRef>
          </c:tx>
          <c:spPr>
            <a:prstGeom prst="rect">
              <a:avLst/>
            </a:prstGeom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chemeClr val="tx1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Графики!$B$160:$G$160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Графики!$B$161:$G$161</c:f>
              <c:numCache>
                <c:formatCode>#\ ##0\ ;\(#\ ##0\);\-" "</c:formatCode>
                <c:ptCount val="6"/>
                <c:pt idx="0">
                  <c:v>3.5220836867836005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5-4E9E-9D0F-89B551D8B9F9}"/>
            </c:ext>
          </c:extLst>
        </c:ser>
        <c:ser>
          <c:idx val="4"/>
          <c:order val="2"/>
          <c:tx>
            <c:strRef>
              <c:f>Графики!$A$162</c:f>
              <c:strCache>
                <c:ptCount val="1"/>
                <c:pt idx="0">
                  <c:v>Затраты проекта</c:v>
                </c:pt>
              </c:strCache>
            </c:strRef>
          </c:tx>
          <c:spPr>
            <a:prstGeom prst="rect">
              <a:avLst/>
            </a:prstGeom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2.1900000000000001E-4"/>
                  <c:y val="-4.72299999999999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45-4E9E-9D0F-89B551D8B9F9}"/>
                </c:ext>
              </c:extLst>
            </c:dLbl>
            <c:dLbl>
              <c:idx val="2"/>
              <c:layout>
                <c:manualLayout>
                  <c:x val="-8.2529999999999999E-3"/>
                  <c:y val="2.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45-4E9E-9D0F-89B551D8B9F9}"/>
                </c:ext>
              </c:extLst>
            </c:dLbl>
            <c:dLbl>
              <c:idx val="3"/>
              <c:layout>
                <c:manualLayout>
                  <c:x val="-1.2841E-2"/>
                  <c:y val="5.3160000000000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45-4E9E-9D0F-89B551D8B9F9}"/>
                </c:ext>
              </c:extLst>
            </c:dLbl>
            <c:dLbl>
              <c:idx val="4"/>
              <c:layout>
                <c:manualLayout>
                  <c:x val="-8.2529999999999999E-3"/>
                  <c:y val="-4.72299999999999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45-4E9E-9D0F-89B551D8B9F9}"/>
                </c:ext>
              </c:extLst>
            </c:dLbl>
            <c:dLbl>
              <c:idx val="5"/>
              <c:layout>
                <c:manualLayout>
                  <c:x val="-6.6509999999999998E-3"/>
                  <c:y val="8.41699999999999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45-4E9E-9D0F-89B551D8B9F9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>
                    <a:solidFill>
                      <a:schemeClr val="tx2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Графики!$B$160:$G$160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Графики!$B$162:$G$162</c:f>
              <c:numCache>
                <c:formatCode>#\ ##0\ ;\(#\ ##0\);\-" "</c:formatCode>
                <c:ptCount val="6"/>
                <c:pt idx="0">
                  <c:v>3.519660143679693</c:v>
                </c:pt>
                <c:pt idx="1">
                  <c:v>6.9441876915652649</c:v>
                </c:pt>
                <c:pt idx="2">
                  <c:v>9.4257596861579458</c:v>
                </c:pt>
                <c:pt idx="3">
                  <c:v>12.610914204840208</c:v>
                </c:pt>
                <c:pt idx="4">
                  <c:v>15.618080856097524</c:v>
                </c:pt>
                <c:pt idx="5">
                  <c:v>16.55257937631357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45-4E9E-9D0F-89B551D8B9F9}"/>
            </c:ext>
          </c:extLst>
        </c:ser>
        <c:ser>
          <c:idx val="5"/>
          <c:order val="3"/>
          <c:tx>
            <c:strRef>
              <c:f>Графики!$A$163</c:f>
              <c:strCache>
                <c:ptCount val="1"/>
                <c:pt idx="0">
                  <c:v>Выручка проекта</c:v>
                </c:pt>
              </c:strCache>
            </c:strRef>
          </c:tx>
          <c:spPr>
            <a:prstGeom prst="rect">
              <a:avLst/>
            </a:prstGeom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1.152E-3"/>
                  <c:y val="-9.3010000000000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45-4E9E-9D0F-89B551D8B9F9}"/>
                </c:ext>
              </c:extLst>
            </c:dLbl>
            <c:dLbl>
              <c:idx val="1"/>
              <c:layout>
                <c:manualLayout>
                  <c:x val="0"/>
                  <c:y val="-7.67799999999999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45-4E9E-9D0F-89B551D8B9F9}"/>
                </c:ext>
              </c:extLst>
            </c:dLbl>
            <c:dLbl>
              <c:idx val="2"/>
              <c:layout>
                <c:manualLayout>
                  <c:x val="0"/>
                  <c:y val="-1.6230000000000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45-4E9E-9D0F-89B551D8B9F9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45-4E9E-9D0F-89B551D8B9F9}"/>
                </c:ext>
              </c:extLst>
            </c:dLbl>
            <c:dLbl>
              <c:idx val="4"/>
              <c:layout>
                <c:manualLayout>
                  <c:x val="0"/>
                  <c:y val="4.5779999999999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45-4E9E-9D0F-89B551D8B9F9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Графики!$B$160:$G$160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Графики!$B$163:$G$163</c:f>
              <c:numCache>
                <c:formatCode>#\ ##0\ ;\(#\ ##0\);\-" "</c:formatCode>
                <c:ptCount val="6"/>
                <c:pt idx="0">
                  <c:v>4.3476809774472651E-2</c:v>
                </c:pt>
                <c:pt idx="1">
                  <c:v>4.8055719457649069</c:v>
                </c:pt>
                <c:pt idx="2">
                  <c:v>9.9625816843589341</c:v>
                </c:pt>
                <c:pt idx="3">
                  <c:v>16.582097717772395</c:v>
                </c:pt>
                <c:pt idx="4">
                  <c:v>22.83401253140919</c:v>
                </c:pt>
                <c:pt idx="5">
                  <c:v>24.771120691869111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45-4E9E-9D0F-89B551D8B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25280"/>
        <c:axId val="267922144"/>
      </c:barChart>
      <c:lineChart>
        <c:grouping val="standard"/>
        <c:varyColors val="0"/>
        <c:ser>
          <c:idx val="2"/>
          <c:order val="0"/>
          <c:tx>
            <c:strRef>
              <c:f>Графики!$A$164</c:f>
              <c:strCache>
                <c:ptCount val="1"/>
                <c:pt idx="0">
                  <c:v>EBITDA margin, %</c:v>
                </c:pt>
              </c:strCache>
            </c:strRef>
          </c:tx>
          <c:spPr>
            <a:prstGeom prst="rect">
              <a:avLst/>
            </a:prstGeom>
            <a:ln w="22225">
              <a:solidFill>
                <a:schemeClr val="accent4">
                  <a:lumMod val="90000"/>
                  <a:lumOff val="10000"/>
                </a:schemeClr>
              </a:solidFill>
            </a:ln>
          </c:spPr>
          <c:marker>
            <c:symbol val="diamond"/>
            <c:size val="8"/>
            <c:spPr>
              <a:prstGeom prst="rect">
                <a:avLst/>
              </a:prstGeom>
              <a:solidFill>
                <a:schemeClr val="accent4">
                  <a:lumMod val="90000"/>
                  <a:lumOff val="10000"/>
                </a:schemeClr>
              </a:solidFill>
            </c:spPr>
          </c:marker>
          <c:dLbls>
            <c:dLbl>
              <c:idx val="1"/>
              <c:layout>
                <c:manualLayout>
                  <c:x val="-5.6104000000000001E-2"/>
                  <c:y val="-5.0616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45-4E9E-9D0F-89B551D8B9F9}"/>
                </c:ext>
              </c:extLst>
            </c:dLbl>
            <c:dLbl>
              <c:idx val="2"/>
              <c:layout>
                <c:manualLayout>
                  <c:x val="-5.4632E-2"/>
                  <c:y val="-4.5395999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45-4E9E-9D0F-89B551D8B9F9}"/>
                </c:ext>
              </c:extLst>
            </c:dLbl>
            <c:dLbl>
              <c:idx val="3"/>
              <c:layout>
                <c:manualLayout>
                  <c:x val="-5.4632E-2"/>
                  <c:y val="-4.5395999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45-4E9E-9D0F-89B551D8B9F9}"/>
                </c:ext>
              </c:extLst>
            </c:dLbl>
            <c:dLbl>
              <c:idx val="4"/>
              <c:layout>
                <c:manualLayout>
                  <c:x val="-3.6754000000000002E-2"/>
                  <c:y val="-4.318899999999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45-4E9E-9D0F-89B551D8B9F9}"/>
                </c:ext>
              </c:extLst>
            </c:dLbl>
            <c:dLbl>
              <c:idx val="5"/>
              <c:layout>
                <c:manualLayout>
                  <c:x val="-3.6754000000000002E-2"/>
                  <c:y val="-5.470599999999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45-4E9E-9D0F-89B551D8B9F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accent4">
                    <a:lumMod val="90000"/>
                    <a:lumOff val="10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val>
            <c:numRef>
              <c:f>Графики!$B$164:$G$164</c:f>
              <c:numCache>
                <c:formatCode>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B845-4E9E-9D0F-89B551D8B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24104"/>
        <c:axId val="267922536"/>
      </c:lineChart>
      <c:catAx>
        <c:axId val="2679252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2144"/>
        <c:crosses val="autoZero"/>
        <c:auto val="1"/>
        <c:lblAlgn val="ctr"/>
        <c:lblOffset val="100"/>
        <c:noMultiLvlLbl val="0"/>
      </c:catAx>
      <c:valAx>
        <c:axId val="267922144"/>
        <c:scaling>
          <c:orientation val="minMax"/>
          <c:max val="50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5280"/>
        <c:crosses val="autoZero"/>
        <c:crossBetween val="between"/>
      </c:valAx>
      <c:valAx>
        <c:axId val="2679225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267924104"/>
        <c:crosses val="max"/>
        <c:crossBetween val="between"/>
      </c:valAx>
      <c:catAx>
        <c:axId val="267924104"/>
        <c:scaling>
          <c:orientation val="minMax"/>
        </c:scaling>
        <c:delete val="1"/>
        <c:axPos val="b"/>
        <c:majorTickMark val="out"/>
        <c:minorTickMark val="none"/>
        <c:tickLblPos val="none"/>
        <c:crossAx val="267922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685999999999999"/>
          <c:y val="0.16936000000000001"/>
          <c:w val="0.21510799999999999"/>
          <c:h val="0.61521199999999998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2</xdr:col>
      <xdr:colOff>581025</xdr:colOff>
      <xdr:row>19</xdr:row>
      <xdr:rowOff>154641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419099</xdr:colOff>
      <xdr:row>25</xdr:row>
      <xdr:rowOff>28574</xdr:rowOff>
    </xdr:from>
    <xdr:to>
      <xdr:col>15</xdr:col>
      <xdr:colOff>114299</xdr:colOff>
      <xdr:row>40</xdr:row>
      <xdr:rowOff>81642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466725</xdr:colOff>
      <xdr:row>63</xdr:row>
      <xdr:rowOff>154641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</xdr:colOff>
      <xdr:row>49</xdr:row>
      <xdr:rowOff>122902</xdr:rowOff>
    </xdr:from>
    <xdr:to>
      <xdr:col>9</xdr:col>
      <xdr:colOff>368711</xdr:colOff>
      <xdr:row>63</xdr:row>
      <xdr:rowOff>154640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4</xdr:col>
      <xdr:colOff>466725</xdr:colOff>
      <xdr:row>89</xdr:row>
      <xdr:rowOff>152400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112</xdr:row>
      <xdr:rowOff>19050</xdr:rowOff>
    </xdr:from>
    <xdr:to>
      <xdr:col>4</xdr:col>
      <xdr:colOff>542925</xdr:colOff>
      <xdr:row>129</xdr:row>
      <xdr:rowOff>9525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4</xdr:col>
      <xdr:colOff>466725</xdr:colOff>
      <xdr:row>158</xdr:row>
      <xdr:rowOff>152400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166</xdr:row>
      <xdr:rowOff>0</xdr:rowOff>
    </xdr:from>
    <xdr:to>
      <xdr:col>4</xdr:col>
      <xdr:colOff>466725</xdr:colOff>
      <xdr:row>182</xdr:row>
      <xdr:rowOff>152400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604990</xdr:colOff>
      <xdr:row>164</xdr:row>
      <xdr:rowOff>61451</xdr:rowOff>
    </xdr:from>
    <xdr:to>
      <xdr:col>19</xdr:col>
      <xdr:colOff>256048</xdr:colOff>
      <xdr:row>184</xdr:row>
      <xdr:rowOff>92177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276532</xdr:colOff>
      <xdr:row>197</xdr:row>
      <xdr:rowOff>92177</xdr:rowOff>
    </xdr:from>
    <xdr:to>
      <xdr:col>21</xdr:col>
      <xdr:colOff>573548</xdr:colOff>
      <xdr:row>211</xdr:row>
      <xdr:rowOff>51210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61451</xdr:colOff>
      <xdr:row>226</xdr:row>
      <xdr:rowOff>153629</xdr:rowOff>
    </xdr:from>
    <xdr:to>
      <xdr:col>13</xdr:col>
      <xdr:colOff>297015</xdr:colOff>
      <xdr:row>248</xdr:row>
      <xdr:rowOff>102419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591255</xdr:colOff>
      <xdr:row>45</xdr:row>
      <xdr:rowOff>41897</xdr:rowOff>
    </xdr:from>
    <xdr:to>
      <xdr:col>17</xdr:col>
      <xdr:colOff>496403</xdr:colOff>
      <xdr:row>61</xdr:row>
      <xdr:rowOff>115944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591255</xdr:colOff>
      <xdr:row>63</xdr:row>
      <xdr:rowOff>154639</xdr:rowOff>
    </xdr:from>
    <xdr:to>
      <xdr:col>18</xdr:col>
      <xdr:colOff>243028</xdr:colOff>
      <xdr:row>80</xdr:row>
      <xdr:rowOff>66761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es" id="{54216850-C915-5500-E967-A7BD3973B4A3}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222:C224">
  <tableColumns count="3">
    <tableColumn id="1" xr3:uid="{00000000-0010-0000-0000-000001000000}" name="Год" dataDxfId="4"/>
    <tableColumn id="2" xr3:uid="{00000000-0010-0000-0000-000002000000}" name="РФ" dataDxfId="3"/>
    <tableColumn id="3" xr3:uid="{00000000-0010-0000-0000-000003000000}" name="Мир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13" displayName="Таблица13" ref="A227:C230">
  <tableColumns count="3">
    <tableColumn id="1" xr3:uid="{00000000-0010-0000-0100-000001000000}" name="Год" dataDxfId="2"/>
    <tableColumn id="2" xr3:uid="{00000000-0010-0000-0100-000002000000}" name="РФ (в млн.$)" dataDxfId="1"/>
    <tableColumn id="3" xr3:uid="{00000000-0010-0000-0100-000003000000}" name="Мир (в млрд.$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1">
  <a:themeElements>
    <a:clrScheme name="20110601">
      <a:dk1>
        <a:srgbClr val="5F4545"/>
      </a:dk1>
      <a:lt1>
        <a:sysClr val="window" lastClr="FFFFFF"/>
      </a:lt1>
      <a:dk2>
        <a:srgbClr val="881935"/>
      </a:dk2>
      <a:lt2>
        <a:srgbClr val="E4E2DD"/>
      </a:lt2>
      <a:accent1>
        <a:srgbClr val="881935"/>
      </a:accent1>
      <a:accent2>
        <a:srgbClr val="C47E8D"/>
      </a:accent2>
      <a:accent3>
        <a:srgbClr val="E4E2DD"/>
      </a:accent3>
      <a:accent4>
        <a:srgbClr val="182025"/>
      </a:accent4>
      <a:accent5>
        <a:srgbClr val="B4B4B4"/>
      </a:accent5>
      <a:accent6>
        <a:srgbClr val="FFFFFF"/>
      </a:accent6>
      <a:hlink>
        <a:srgbClr val="881935"/>
      </a:hlink>
      <a:folHlink>
        <a:srgbClr val="881935"/>
      </a:folHlink>
    </a:clrScheme>
    <a:fontScheme name="Branan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Начальная">
      <a:fillStyleLst>
        <a:solidFill>
          <a:schemeClr val="phClr"/>
        </a:solidFill>
        <a:gradFill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prstGeom prst="rect">
          <a:avLst/>
        </a:prstGeom>
        <a:solidFill>
          <a:schemeClr val="accent1"/>
        </a:solidFill>
        <a:ln>
          <a:noFill/>
        </a:ln>
      </a:spPr>
      <a:bodyPr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ln w="28575"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 bwMode="auto">
        <a:prstGeom prst="rect">
          <a:avLst/>
        </a:prstGeom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9" personId="{54216850-C915-5500-E967-A7BD3973B4A3}" id="{003A0058-0054-4D5E-8DF1-0018008F00AF}" done="0">
    <text xml:space="preserve"> площадь помещения в расчете на одно рабочее место для пользователей ПЭВМ с жидкокристаллическим экраном должна составлять не менее 4,5 кв. м (п. 3.4 СанПиН 2.2.2/2.4.1340-03)
Но обычно с учетом шкафов и пр. принимают 6 кв. метров на клерка.
</text>
  </threadedComment>
  <threadedComment ref="C80" personId="{54216850-C915-5500-E967-A7BD3973B4A3}" id="{00B00002-0039-4A15-B989-008F0056009B}" done="0">
    <text xml:space="preserve">http://www.mega-realty.ru/objects/73780.htm
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2:E73"/>
  <sheetViews>
    <sheetView workbookViewId="0">
      <selection activeCell="B7" sqref="B7"/>
    </sheetView>
  </sheetViews>
  <sheetFormatPr defaultColWidth="9.109375" defaultRowHeight="10.199999999999999"/>
  <cols>
    <col min="1" max="1" width="5.6640625" style="1" customWidth="1"/>
    <col min="2" max="2" width="33" style="1" bestFit="1" customWidth="1"/>
    <col min="3" max="3" width="75.6640625" style="1" bestFit="1" customWidth="1"/>
    <col min="4" max="16384" width="9.109375" style="1"/>
  </cols>
  <sheetData>
    <row r="2" spans="2:3">
      <c r="B2" s="2" t="s">
        <v>434</v>
      </c>
    </row>
    <row r="4" spans="2:3">
      <c r="B4" s="3" t="s">
        <v>0</v>
      </c>
    </row>
    <row r="6" spans="2:3">
      <c r="B6" s="4" t="s">
        <v>1</v>
      </c>
      <c r="C6" s="4"/>
    </row>
    <row r="7" spans="2:3">
      <c r="B7" s="5" t="s">
        <v>2</v>
      </c>
      <c r="C7" s="1" t="s">
        <v>3</v>
      </c>
    </row>
    <row r="8" spans="2:3">
      <c r="B8" s="5" t="s">
        <v>4</v>
      </c>
      <c r="C8" s="1" t="s">
        <v>5</v>
      </c>
    </row>
    <row r="9" spans="2:3">
      <c r="B9" s="5" t="s">
        <v>6</v>
      </c>
      <c r="C9" s="1" t="s">
        <v>7</v>
      </c>
    </row>
    <row r="10" spans="2:3">
      <c r="B10" s="5" t="s">
        <v>8</v>
      </c>
      <c r="C10" s="1" t="s">
        <v>9</v>
      </c>
    </row>
    <row r="11" spans="2:3">
      <c r="B11" s="5" t="s">
        <v>10</v>
      </c>
      <c r="C11" s="1" t="s">
        <v>11</v>
      </c>
    </row>
    <row r="12" spans="2:3">
      <c r="B12" s="5" t="s">
        <v>12</v>
      </c>
      <c r="C12" s="1" t="s">
        <v>13</v>
      </c>
    </row>
    <row r="13" spans="2:3">
      <c r="B13" s="5" t="s">
        <v>14</v>
      </c>
      <c r="C13" s="1" t="s">
        <v>15</v>
      </c>
    </row>
    <row r="15" spans="2:3">
      <c r="B15" s="6"/>
      <c r="C15" s="1" t="s">
        <v>16</v>
      </c>
    </row>
    <row r="16" spans="2:3">
      <c r="B16" s="7"/>
      <c r="C16" s="1" t="s">
        <v>17</v>
      </c>
    </row>
    <row r="23" spans="4:4">
      <c r="D23" s="8"/>
    </row>
    <row r="68" spans="4:5">
      <c r="D68" s="9">
        <v>6151</v>
      </c>
      <c r="E68" s="10">
        <f t="shared" ref="E68:E73" si="0">D68/$D$73</f>
        <v>0.21967857142857142</v>
      </c>
    </row>
    <row r="69" spans="4:5">
      <c r="D69" s="9">
        <v>743</v>
      </c>
      <c r="E69" s="10">
        <f t="shared" si="0"/>
        <v>2.6535714285714284E-2</v>
      </c>
    </row>
    <row r="70" spans="4:5">
      <c r="D70" s="9">
        <v>7470</v>
      </c>
      <c r="E70" s="10">
        <f t="shared" si="0"/>
        <v>0.26678571428571429</v>
      </c>
    </row>
    <row r="71" spans="4:5">
      <c r="D71" s="9">
        <v>7500</v>
      </c>
      <c r="E71" s="10">
        <f t="shared" si="0"/>
        <v>0.26785714285714285</v>
      </c>
    </row>
    <row r="72" spans="4:5">
      <c r="D72" s="9">
        <v>6136</v>
      </c>
      <c r="E72" s="10">
        <f t="shared" si="0"/>
        <v>0.21914285714285714</v>
      </c>
    </row>
    <row r="73" spans="4:5">
      <c r="D73" s="9">
        <v>28000</v>
      </c>
      <c r="E73" s="10">
        <f t="shared" si="0"/>
        <v>1</v>
      </c>
    </row>
  </sheetData>
  <hyperlinks>
    <hyperlink ref="B7" location="'Предположения'!A1" display="Предположения" xr:uid="{00000000-0004-0000-0000-000000000000}"/>
    <hyperlink ref="B8" location="'Выручка'!A1" display="Выручка" xr:uid="{00000000-0004-0000-0000-000001000000}"/>
    <hyperlink ref="B9" location="'Себестоимость'!A1" display="Себестоимость" xr:uid="{00000000-0004-0000-0000-000002000000}"/>
    <hyperlink ref="B10" location="'Персонал'!A1" display="Персонал" xr:uid="{00000000-0004-0000-0000-000003000000}"/>
    <hyperlink ref="B11" location="'Оборотный капитал'!A1" display="Оборотный капитал" xr:uid="{00000000-0004-0000-0000-000004000000}"/>
    <hyperlink ref="B12" location="'Инвестиции'!A1" display="Инвестиции" xr:uid="{00000000-0004-0000-0000-000005000000}"/>
    <hyperlink ref="B13" location="'Финансовые результаты'!A1" display="Финансовые результаты" xr:uid="{00000000-0004-0000-0000-000006000000}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S248"/>
  <sheetViews>
    <sheetView zoomScale="93" workbookViewId="0">
      <selection activeCell="E31" sqref="E31"/>
    </sheetView>
  </sheetViews>
  <sheetFormatPr defaultColWidth="9.109375" defaultRowHeight="13.2"/>
  <cols>
    <col min="1" max="1" width="34.109375" style="39" customWidth="1"/>
    <col min="2" max="2" width="12.5546875" style="40" customWidth="1"/>
    <col min="3" max="3" width="12.33203125" style="40" customWidth="1"/>
    <col min="4" max="5" width="9.109375" style="40"/>
    <col min="6" max="6" width="11.44140625" style="40" bestFit="1" customWidth="1"/>
    <col min="7" max="7" width="10.33203125" style="40" bestFit="1" customWidth="1"/>
    <col min="8" max="8" width="9.109375" style="40"/>
    <col min="9" max="9" width="13.33203125" style="40" customWidth="1"/>
    <col min="10" max="13" width="9.109375" style="40"/>
    <col min="14" max="14" width="10.44140625" style="40" customWidth="1"/>
    <col min="15" max="16384" width="9.109375" style="40"/>
  </cols>
  <sheetData>
    <row r="3" spans="1:19">
      <c r="A3" s="39" t="s">
        <v>354</v>
      </c>
    </row>
    <row r="8" spans="1:19">
      <c r="D8" s="169"/>
      <c r="E8" s="169" t="str">
        <f>'Финансовые результаты'!A113</f>
        <v>Показатели эффективности Проекта</v>
      </c>
      <c r="F8" s="169"/>
      <c r="G8" s="169"/>
      <c r="H8" s="169"/>
      <c r="J8" s="170" t="s">
        <v>355</v>
      </c>
      <c r="K8" s="171"/>
      <c r="L8" s="171"/>
      <c r="M8" s="171"/>
      <c r="N8" s="171"/>
      <c r="O8" s="171"/>
      <c r="P8" s="171"/>
      <c r="Q8" s="171"/>
      <c r="R8" s="171"/>
      <c r="S8" s="171"/>
    </row>
    <row r="9" spans="1:19">
      <c r="E9" s="40" t="str">
        <f>'Финансовые результаты'!A114</f>
        <v>NPV Проекта</v>
      </c>
      <c r="F9" s="40">
        <f>'Финансовые результаты'!B114</f>
        <v>11894.258183279886</v>
      </c>
      <c r="G9" s="196" t="s">
        <v>356</v>
      </c>
      <c r="H9" s="196"/>
      <c r="J9" s="197" t="s">
        <v>357</v>
      </c>
      <c r="K9" s="197"/>
      <c r="L9" s="197"/>
      <c r="M9" s="197"/>
      <c r="N9" s="197"/>
      <c r="O9" s="197"/>
      <c r="P9" s="197"/>
      <c r="Q9" s="197"/>
      <c r="R9" s="197"/>
      <c r="S9" s="197"/>
    </row>
    <row r="10" spans="1:19">
      <c r="E10" s="40" t="str">
        <f>'Финансовые результаты'!A118</f>
        <v>IRR Проекта, годовых</v>
      </c>
      <c r="F10" s="173">
        <f>'Финансовые результаты'!B118</f>
        <v>0.55878119715903862</v>
      </c>
      <c r="G10" s="196" t="s">
        <v>358</v>
      </c>
      <c r="H10" s="196"/>
      <c r="J10" s="198" t="s">
        <v>359</v>
      </c>
      <c r="K10" s="198"/>
      <c r="L10" s="198"/>
      <c r="M10" s="198"/>
      <c r="N10" s="198"/>
      <c r="O10" s="198"/>
      <c r="P10" s="198"/>
      <c r="Q10" s="198"/>
      <c r="R10" s="171"/>
      <c r="S10" s="171"/>
    </row>
    <row r="11" spans="1:19">
      <c r="E11" s="40" t="str">
        <f>'Финансовые результаты'!A120</f>
        <v>PBP, лет</v>
      </c>
      <c r="F11" s="174">
        <f>'Финансовые результаты'!B120</f>
        <v>3.8737661260256919</v>
      </c>
      <c r="G11" s="196" t="s">
        <v>360</v>
      </c>
      <c r="H11" s="196"/>
      <c r="J11" s="198" t="s">
        <v>361</v>
      </c>
      <c r="K11" s="198"/>
      <c r="L11" s="198"/>
      <c r="M11" s="198"/>
      <c r="N11" s="198"/>
      <c r="O11" s="198"/>
      <c r="P11" s="198"/>
      <c r="Q11" s="198"/>
      <c r="R11" s="171"/>
      <c r="S11" s="171"/>
    </row>
    <row r="12" spans="1:19">
      <c r="E12" s="40" t="str">
        <f>'Финансовые результаты'!A124</f>
        <v>DPBP, лет</v>
      </c>
      <c r="F12" s="174">
        <f>'Финансовые результаты'!B124</f>
        <v>4.5043008316042066</v>
      </c>
      <c r="G12" s="196" t="s">
        <v>362</v>
      </c>
      <c r="H12" s="196"/>
      <c r="J12" s="198" t="s">
        <v>363</v>
      </c>
      <c r="K12" s="198"/>
      <c r="L12" s="198"/>
      <c r="M12" s="198"/>
      <c r="N12" s="198"/>
      <c r="O12" s="198"/>
      <c r="P12" s="198"/>
      <c r="Q12" s="198"/>
      <c r="R12" s="171"/>
      <c r="S12" s="171"/>
    </row>
    <row r="13" spans="1:19">
      <c r="E13" s="40" t="str">
        <f>'Финансовые результаты'!A132</f>
        <v>IRR XXX, годовых</v>
      </c>
      <c r="F13" s="173">
        <f>'Финансовые результаты'!B132</f>
        <v>0.47653352172288943</v>
      </c>
      <c r="G13" s="196" t="s">
        <v>358</v>
      </c>
      <c r="H13" s="196"/>
      <c r="J13" s="197" t="s">
        <v>364</v>
      </c>
      <c r="K13" s="197"/>
      <c r="L13" s="197"/>
      <c r="M13" s="197"/>
      <c r="N13" s="197"/>
      <c r="O13" s="197"/>
      <c r="P13" s="197"/>
      <c r="Q13" s="197"/>
      <c r="R13" s="171"/>
      <c r="S13" s="171"/>
    </row>
    <row r="14" spans="1:19">
      <c r="E14" s="40" t="str">
        <f>'Финансовые результаты'!A133</f>
        <v>ROI XXX</v>
      </c>
      <c r="F14" s="40" t="str">
        <f>'Финансовые результаты'!B133</f>
        <v>2,9х</v>
      </c>
      <c r="G14" s="196" t="s">
        <v>365</v>
      </c>
      <c r="H14" s="196"/>
      <c r="J14" s="198" t="s">
        <v>366</v>
      </c>
      <c r="K14" s="198"/>
      <c r="L14" s="198"/>
      <c r="M14" s="198"/>
      <c r="N14" s="198"/>
      <c r="O14" s="198"/>
      <c r="P14" s="198"/>
      <c r="Q14" s="198"/>
      <c r="R14" s="171"/>
      <c r="S14" s="171"/>
    </row>
    <row r="15" spans="1:19">
      <c r="E15" s="40" t="str">
        <f>'Финансовые результаты'!A129</f>
        <v>EV/Sales</v>
      </c>
      <c r="F15" s="174">
        <f>'Финансовые результаты'!Q129</f>
        <v>1.6801886964545512</v>
      </c>
      <c r="G15" s="196" t="s">
        <v>367</v>
      </c>
      <c r="H15" s="196"/>
      <c r="J15" s="197" t="s">
        <v>368</v>
      </c>
      <c r="K15" s="197"/>
      <c r="L15" s="197"/>
      <c r="M15" s="197"/>
      <c r="N15" s="197"/>
      <c r="O15" s="197"/>
      <c r="P15" s="197"/>
      <c r="Q15" s="197"/>
      <c r="R15" s="171"/>
      <c r="S15" s="171"/>
    </row>
    <row r="16" spans="1:19">
      <c r="J16" s="171"/>
      <c r="K16" s="171"/>
      <c r="L16" s="171"/>
      <c r="M16" s="171"/>
      <c r="N16" s="171"/>
      <c r="O16" s="171"/>
      <c r="P16" s="171"/>
      <c r="Q16" s="171"/>
      <c r="R16" s="171"/>
      <c r="S16" s="171"/>
    </row>
    <row r="20" spans="1:14">
      <c r="I20" s="40" t="s">
        <v>369</v>
      </c>
    </row>
    <row r="22" spans="1:14">
      <c r="I22" s="40">
        <v>2024</v>
      </c>
      <c r="J22" s="40">
        <f>I22+1</f>
        <v>2025</v>
      </c>
      <c r="K22" s="40">
        <f>J22+1</f>
        <v>2026</v>
      </c>
      <c r="L22" s="40">
        <f>K22+1</f>
        <v>2027</v>
      </c>
      <c r="M22" s="40">
        <f>L22+1</f>
        <v>2028</v>
      </c>
      <c r="N22" s="40">
        <f>M22+1</f>
        <v>2029</v>
      </c>
    </row>
    <row r="23" spans="1:14">
      <c r="I23" s="40">
        <v>0</v>
      </c>
      <c r="J23" s="40">
        <f>I23+4</f>
        <v>4</v>
      </c>
      <c r="K23" s="40">
        <f>J23+4</f>
        <v>8</v>
      </c>
      <c r="L23" s="40">
        <f>K23+4</f>
        <v>12</v>
      </c>
      <c r="M23" s="40">
        <f>L23+4</f>
        <v>16</v>
      </c>
      <c r="N23" s="40">
        <f>M23+4</f>
        <v>20</v>
      </c>
    </row>
    <row r="24" spans="1:14">
      <c r="I24" s="40">
        <f ca="1">OFFSET('Финансовые результаты'!$G$111,,I23,,)</f>
        <v>17702.205350616125</v>
      </c>
      <c r="J24" s="40">
        <f ca="1">OFFSET('Финансовые результаты'!$G$111,,J23,,)</f>
        <v>24079.157048689922</v>
      </c>
      <c r="K24" s="40">
        <f ca="1">OFFSET('Финансовые результаты'!$G$111,,K23,,)</f>
        <v>29232.344101331702</v>
      </c>
      <c r="L24" s="40">
        <f ca="1">OFFSET('Финансовые результаты'!$G$111,,L23,,)</f>
        <v>31848.743596226475</v>
      </c>
      <c r="M24" s="40">
        <f ca="1">OFFSET('Финансовые результаты'!$G$111,,M23,,)</f>
        <v>33340.86466866175</v>
      </c>
      <c r="N24" s="40">
        <f ca="1">OFFSET('Финансовые результаты'!$G$111,,N23,,)</f>
        <v>34877.76748587656</v>
      </c>
    </row>
    <row r="25" spans="1:14">
      <c r="A25" s="67" t="s">
        <v>370</v>
      </c>
      <c r="B25" s="67" t="str">
        <f>Инвестиции!E5</f>
        <v>2 кв. 2024</v>
      </c>
      <c r="C25" s="67" t="str">
        <f>Инвестиции!F5</f>
        <v>3 кв. 2024</v>
      </c>
      <c r="D25" s="67" t="str">
        <f>Инвестиции!G5</f>
        <v>4 кв. 2024</v>
      </c>
    </row>
    <row r="26" spans="1:14">
      <c r="A26" s="39" t="s">
        <v>371</v>
      </c>
      <c r="B26" s="40">
        <f>SUM(B27:B36)</f>
        <v>1154.748423339275</v>
      </c>
      <c r="C26" s="40">
        <f t="shared" ref="C26:D26" si="0">SUM(C27:C36)</f>
        <v>1202.9199607977523</v>
      </c>
      <c r="D26" s="40">
        <f t="shared" si="0"/>
        <v>1155.6858854050095</v>
      </c>
      <c r="E26" s="40">
        <f t="shared" ref="E26:E36" si="1">SUM(B26:D26)</f>
        <v>3513.3542695420365</v>
      </c>
      <c r="F26" s="175">
        <f t="shared" ref="F26:F36" si="2">E26/$E$26</f>
        <v>1</v>
      </c>
    </row>
    <row r="27" spans="1:14">
      <c r="A27" s="39" t="str">
        <f>Инвестиции!A44</f>
        <v>Затраты на персонал</v>
      </c>
      <c r="B27" s="40">
        <f>Инвестиции!E44</f>
        <v>1142.5050000000001</v>
      </c>
      <c r="C27" s="40">
        <f>Инвестиции!F44</f>
        <v>1142.5050000000001</v>
      </c>
      <c r="D27" s="40">
        <f>Инвестиции!G44</f>
        <v>1142.5050000000001</v>
      </c>
      <c r="E27" s="40">
        <f t="shared" si="1"/>
        <v>3427.5150000000003</v>
      </c>
      <c r="F27" s="175">
        <f t="shared" si="2"/>
        <v>0.97556771593283553</v>
      </c>
    </row>
    <row r="28" spans="1:14">
      <c r="A28" s="39" t="str">
        <f>Инвестиции!A48</f>
        <v>Расходы на маркетинг</v>
      </c>
      <c r="B28" s="40">
        <f>(Инвестиции!E48)*1.18</f>
        <v>12.243423339274916</v>
      </c>
      <c r="C28" s="40">
        <f>(Инвестиции!F48)*1.18</f>
        <v>12.703509751245912</v>
      </c>
      <c r="D28" s="40">
        <f>(Инвестиции!G48)*1.18</f>
        <v>13.180885405009384</v>
      </c>
      <c r="E28" s="40">
        <f t="shared" si="1"/>
        <v>38.127818495530214</v>
      </c>
      <c r="F28" s="175">
        <f t="shared" si="2"/>
        <v>1.0852255585514907E-2</v>
      </c>
    </row>
    <row r="29" spans="1:14">
      <c r="A29" s="39" t="s">
        <v>372</v>
      </c>
      <c r="B29" s="40">
        <f>Инвестиции!E32+Инвестиции!E33</f>
        <v>0</v>
      </c>
      <c r="C29" s="40">
        <f>Инвестиции!F32+Инвестиции!F33</f>
        <v>0</v>
      </c>
      <c r="D29" s="40">
        <f>Инвестиции!G32+Инвестиции!G33</f>
        <v>0</v>
      </c>
      <c r="E29" s="40">
        <f t="shared" si="1"/>
        <v>0</v>
      </c>
      <c r="F29" s="175">
        <f t="shared" si="2"/>
        <v>0</v>
      </c>
    </row>
    <row r="30" spans="1:14">
      <c r="A30" s="39" t="str">
        <f>Инвестиции!A42</f>
        <v>Затраты на комплектующие и упаковку</v>
      </c>
      <c r="B30" s="40">
        <f>(Инвестиции!E42)*1.18</f>
        <v>0</v>
      </c>
      <c r="C30" s="40">
        <f>(Инвестиции!F42)*1.18</f>
        <v>46.172371980489949</v>
      </c>
      <c r="D30" s="40">
        <f>(Инвестиции!G42)*1.18</f>
        <v>0</v>
      </c>
      <c r="E30" s="40">
        <f t="shared" si="1"/>
        <v>46.172371980489949</v>
      </c>
      <c r="F30" s="175">
        <f t="shared" si="2"/>
        <v>1.3141963046757733E-2</v>
      </c>
    </row>
    <row r="31" spans="1:14">
      <c r="A31" s="39" t="str">
        <f>Инвестиции!A51</f>
        <v>Аренда офиса</v>
      </c>
      <c r="B31" s="40">
        <f>(Инвестиции!E51)*1.18</f>
        <v>0</v>
      </c>
      <c r="C31" s="40">
        <f>(Инвестиции!F51)*1.18</f>
        <v>0</v>
      </c>
      <c r="D31" s="40">
        <f>(Инвестиции!G51)*1.18</f>
        <v>0</v>
      </c>
      <c r="E31" s="40">
        <f t="shared" si="1"/>
        <v>0</v>
      </c>
      <c r="F31" s="175">
        <f t="shared" si="2"/>
        <v>0</v>
      </c>
    </row>
    <row r="32" spans="1:14">
      <c r="A32" s="39" t="str">
        <f>Инвестиции!A47</f>
        <v>Командировки</v>
      </c>
      <c r="B32" s="40">
        <f>(Инвестиции!E47)*1.18</f>
        <v>0</v>
      </c>
      <c r="C32" s="40">
        <f>(Инвестиции!F47)*1.18</f>
        <v>0</v>
      </c>
      <c r="D32" s="40">
        <f>(Инвестиции!G47)*1.18</f>
        <v>0</v>
      </c>
      <c r="E32" s="40">
        <f t="shared" si="1"/>
        <v>0</v>
      </c>
      <c r="F32" s="175">
        <f t="shared" si="2"/>
        <v>0</v>
      </c>
    </row>
    <row r="33" spans="1:6">
      <c r="A33" s="39" t="str">
        <f>Инвестиции!A45</f>
        <v>Прочие переменные затраты (% от выручки)</v>
      </c>
      <c r="B33" s="40">
        <f>(Инвестиции!E45)*1.18</f>
        <v>0</v>
      </c>
      <c r="C33" s="40">
        <f>(Инвестиции!F45)*1.18</f>
        <v>1.0260527106775545</v>
      </c>
      <c r="D33" s="40">
        <f>(Инвестиции!G45)*1.18</f>
        <v>0</v>
      </c>
      <c r="E33" s="40">
        <f t="shared" si="1"/>
        <v>1.0260527106775545</v>
      </c>
      <c r="F33" s="175">
        <f t="shared" si="2"/>
        <v>2.9204362326128299E-4</v>
      </c>
    </row>
    <row r="34" spans="1:6">
      <c r="A34" s="39" t="str">
        <f>Инвестиции!A43</f>
        <v>Затраты на логистику</v>
      </c>
      <c r="B34" s="40">
        <f>(Инвестиции!E43)*1.18</f>
        <v>0</v>
      </c>
      <c r="C34" s="40">
        <f>(Инвестиции!F43)*1.18</f>
        <v>0</v>
      </c>
      <c r="D34" s="40">
        <f>(Инвестиции!G43)*1.18</f>
        <v>0</v>
      </c>
      <c r="E34" s="40">
        <f t="shared" si="1"/>
        <v>0</v>
      </c>
      <c r="F34" s="175">
        <f t="shared" si="2"/>
        <v>0</v>
      </c>
    </row>
    <row r="35" spans="1:6">
      <c r="A35" s="39" t="str">
        <f>Инвестиции!A50</f>
        <v>Налог на имущество</v>
      </c>
      <c r="B35" s="40">
        <f>(Инвестиции!E50)*1.18</f>
        <v>0</v>
      </c>
      <c r="C35" s="40">
        <f>(Инвестиции!F50)*1.18</f>
        <v>0</v>
      </c>
      <c r="D35" s="40">
        <f>(Инвестиции!G50)*1.18</f>
        <v>0</v>
      </c>
      <c r="E35" s="40">
        <f t="shared" si="1"/>
        <v>0</v>
      </c>
      <c r="F35" s="175">
        <f t="shared" si="2"/>
        <v>0</v>
      </c>
    </row>
    <row r="36" spans="1:6">
      <c r="A36" s="39" t="str">
        <f>Инвестиции!A52</f>
        <v>Прочие административные расходы</v>
      </c>
      <c r="B36" s="40">
        <f>(Инвестиции!E52)*1.18</f>
        <v>0</v>
      </c>
      <c r="C36" s="40">
        <f>(Инвестиции!F52)*1.18</f>
        <v>0.51302635533877727</v>
      </c>
      <c r="D36" s="40">
        <f>(Инвестиции!G52)*1.18</f>
        <v>0</v>
      </c>
      <c r="E36" s="40">
        <f t="shared" si="1"/>
        <v>0.51302635533877727</v>
      </c>
      <c r="F36" s="175">
        <f t="shared" si="2"/>
        <v>1.460218116306415E-4</v>
      </c>
    </row>
    <row r="39" spans="1:6" ht="33.75" customHeight="1">
      <c r="A39" s="67" t="s">
        <v>373</v>
      </c>
      <c r="B39" s="176" t="s">
        <v>374</v>
      </c>
      <c r="C39" s="176" t="s">
        <v>375</v>
      </c>
      <c r="F39" s="177"/>
    </row>
    <row r="40" spans="1:6">
      <c r="A40" s="39" t="s">
        <v>65</v>
      </c>
      <c r="B40" s="178">
        <f>SUM(Инвестиции!D69:I69)/1000</f>
        <v>2.6415627650877003</v>
      </c>
      <c r="C40" s="47">
        <f>Инвестиции!C65</f>
        <v>0.25</v>
      </c>
      <c r="D40" s="47"/>
      <c r="F40" s="177"/>
    </row>
    <row r="41" spans="1:6">
      <c r="A41" s="39" t="s">
        <v>194</v>
      </c>
      <c r="B41" s="178">
        <f>SUM(Инвестиции!D68:I68)/1000</f>
        <v>0.88052092169590013</v>
      </c>
      <c r="C41" s="179">
        <f>D43-C42</f>
        <v>8.340000000000003E-2</v>
      </c>
      <c r="D41" s="47"/>
      <c r="F41" s="177"/>
    </row>
    <row r="42" spans="1:6">
      <c r="A42" s="39" t="s">
        <v>376</v>
      </c>
      <c r="C42" s="179">
        <v>0.66659999999999997</v>
      </c>
      <c r="D42" s="47"/>
      <c r="F42" s="177"/>
    </row>
    <row r="43" spans="1:6">
      <c r="A43" s="40" t="s">
        <v>377</v>
      </c>
      <c r="B43" s="40">
        <f>SUM(B40:B42)</f>
        <v>3.5220836867836005</v>
      </c>
      <c r="C43" s="173">
        <f>SUM(C40:C42)</f>
        <v>1</v>
      </c>
      <c r="D43" s="47">
        <f>1-C40</f>
        <v>0.75</v>
      </c>
      <c r="F43" s="177"/>
    </row>
    <row r="44" spans="1:6">
      <c r="A44" s="40"/>
    </row>
    <row r="45" spans="1:6">
      <c r="A45" s="40"/>
    </row>
    <row r="46" spans="1:6">
      <c r="B46" s="40">
        <f>SUM(B41:B44)</f>
        <v>4.4026046084795007</v>
      </c>
      <c r="C46" s="47">
        <f>SUM(C41:C44)</f>
        <v>1.75</v>
      </c>
    </row>
    <row r="47" spans="1:6">
      <c r="A47" s="39" t="s">
        <v>378</v>
      </c>
    </row>
    <row r="67" spans="1:7">
      <c r="A67" s="71" t="str">
        <f>Выручка!A32</f>
        <v>Выручка</v>
      </c>
      <c r="B67" s="67">
        <f>Выручка!AC5</f>
        <v>2024</v>
      </c>
      <c r="C67" s="67">
        <f>Выручка!AD5</f>
        <v>2025</v>
      </c>
      <c r="D67" s="67">
        <f>Выручка!AE5</f>
        <v>2026</v>
      </c>
      <c r="E67" s="67">
        <f>Выручка!AF5</f>
        <v>2027</v>
      </c>
      <c r="F67" s="67">
        <f>Выручка!AG5</f>
        <v>2028</v>
      </c>
      <c r="G67" s="67">
        <f>Выручка!AH5</f>
        <v>2029</v>
      </c>
    </row>
    <row r="68" spans="1:7">
      <c r="A68" s="42" t="str">
        <f>Выручка!A33</f>
        <v>XXX</v>
      </c>
      <c r="B68" s="40">
        <f>Выручка!AC33/1000</f>
        <v>4.3476809774472651E-2</v>
      </c>
      <c r="C68" s="40">
        <f>Выручка!AD33/1000</f>
        <v>4.8055719457649069</v>
      </c>
      <c r="D68" s="40">
        <f>Выручка!AE33/1000</f>
        <v>9.9625816843589341</v>
      </c>
      <c r="E68" s="40">
        <f>Выручка!AF33/1000</f>
        <v>16.582097717772395</v>
      </c>
      <c r="F68" s="40">
        <f>Выручка!AG33/1000</f>
        <v>22.83401253140919</v>
      </c>
      <c r="G68" s="40">
        <f>Выручка!AH33/1000</f>
        <v>24.771120691869111</v>
      </c>
    </row>
    <row r="69" spans="1:7">
      <c r="A69" s="42" t="str">
        <f>Выручка!A34</f>
        <v>XXX</v>
      </c>
      <c r="B69" s="40">
        <f>Выручка!AC34/1000</f>
        <v>0</v>
      </c>
      <c r="C69" s="40">
        <f>Выручка!AD34/1000</f>
        <v>0</v>
      </c>
      <c r="D69" s="40">
        <f>Выручка!AE34/1000</f>
        <v>0</v>
      </c>
      <c r="E69" s="40">
        <f>Выручка!AF34/1000</f>
        <v>0</v>
      </c>
      <c r="F69" s="40">
        <f>Выручка!AG34/1000</f>
        <v>0</v>
      </c>
      <c r="G69" s="40">
        <f>Выручка!AH34/1000</f>
        <v>0</v>
      </c>
    </row>
    <row r="70" spans="1:7">
      <c r="A70" s="42" t="str">
        <f>Выручка!A35</f>
        <v>XXX</v>
      </c>
      <c r="B70" s="40">
        <f>Выручка!AC35/1000</f>
        <v>0</v>
      </c>
      <c r="C70" s="40">
        <f>Выручка!AD35/1000</f>
        <v>0</v>
      </c>
      <c r="D70" s="40">
        <f>Выручка!AE35/1000</f>
        <v>0</v>
      </c>
      <c r="E70" s="40">
        <f>Выручка!AF35/1000</f>
        <v>0</v>
      </c>
      <c r="F70" s="40">
        <f>Выручка!AG35/1000</f>
        <v>0</v>
      </c>
      <c r="G70" s="40">
        <f>Выручка!AH35/1000</f>
        <v>0</v>
      </c>
    </row>
    <row r="71" spans="1:7">
      <c r="A71" s="42" t="str">
        <f>Выручка!A36</f>
        <v>XXX</v>
      </c>
      <c r="B71" s="40">
        <f>Выручка!AC36/1000</f>
        <v>0</v>
      </c>
      <c r="C71" s="40">
        <f>Выручка!AD36/1000</f>
        <v>0</v>
      </c>
      <c r="D71" s="40">
        <f>Выручка!AE36/1000</f>
        <v>0</v>
      </c>
      <c r="E71" s="40">
        <f>Выручка!AF36/1000</f>
        <v>0</v>
      </c>
      <c r="F71" s="40">
        <f>Выручка!AG36/1000</f>
        <v>0</v>
      </c>
      <c r="G71" s="40">
        <f>Выручка!AH36/1000</f>
        <v>0</v>
      </c>
    </row>
    <row r="72" spans="1:7">
      <c r="A72" s="73" t="str">
        <f>Выручка!A37</f>
        <v>Итого выручка от реализации</v>
      </c>
      <c r="B72" s="74">
        <f>Выручка!AC37/1000</f>
        <v>4.3476809774472651E-2</v>
      </c>
      <c r="C72" s="74">
        <f>Выручка!AD37/1000</f>
        <v>4.8055719457649069</v>
      </c>
      <c r="D72" s="74">
        <f>Выручка!AE37/1000</f>
        <v>9.9625816843589341</v>
      </c>
      <c r="E72" s="74">
        <f>Выручка!AF37/1000</f>
        <v>16.582097717772395</v>
      </c>
      <c r="F72" s="74">
        <f>Выручка!AG37/1000</f>
        <v>22.83401253140919</v>
      </c>
      <c r="G72" s="74">
        <f>Выручка!AH37/1000</f>
        <v>24.771120691869111</v>
      </c>
    </row>
    <row r="91" spans="1:4">
      <c r="A91" s="196" t="s">
        <v>379</v>
      </c>
      <c r="B91" s="196" t="str">
        <f>Персонал!A9</f>
        <v>Численность сотрудников</v>
      </c>
      <c r="C91" s="196"/>
      <c r="D91" s="196" t="s">
        <v>380</v>
      </c>
    </row>
    <row r="92" spans="1:4">
      <c r="A92" s="196"/>
      <c r="B92" s="40" t="s">
        <v>381</v>
      </c>
      <c r="C92" s="40" t="s">
        <v>382</v>
      </c>
      <c r="D92" s="196"/>
    </row>
    <row r="93" spans="1:4">
      <c r="A93" s="39" t="str">
        <f>Персонал!A10</f>
        <v>Генеральный директор</v>
      </c>
      <c r="B93" s="40">
        <f>Персонал!E10</f>
        <v>1</v>
      </c>
      <c r="C93" s="40">
        <f>Персонал!F10</f>
        <v>1</v>
      </c>
      <c r="D93" s="40">
        <f>Персонал!E24</f>
        <v>292500</v>
      </c>
    </row>
    <row r="94" spans="1:4">
      <c r="A94" s="39" t="str">
        <f>Персонал!A11</f>
        <v>Директор по продажам</v>
      </c>
      <c r="B94" s="40">
        <f>Персонал!E11</f>
        <v>0</v>
      </c>
      <c r="C94" s="40">
        <f>Персонал!F11</f>
        <v>0</v>
      </c>
      <c r="D94" s="40">
        <f>Персонал!E25</f>
        <v>0</v>
      </c>
    </row>
    <row r="95" spans="1:4">
      <c r="A95" s="39" t="str">
        <f>Персонал!A12</f>
        <v>Директор ОТП</v>
      </c>
      <c r="B95" s="40">
        <f>Персонал!E12</f>
        <v>0</v>
      </c>
      <c r="C95" s="40">
        <f>Персонал!F12</f>
        <v>0</v>
      </c>
      <c r="D95" s="40">
        <f>Персонал!E26</f>
        <v>0</v>
      </c>
    </row>
    <row r="96" spans="1:4">
      <c r="A96" s="39" t="str">
        <f>Персонал!A13</f>
        <v>Директор по развитию</v>
      </c>
      <c r="B96" s="40">
        <f>Персонал!E13</f>
        <v>0</v>
      </c>
      <c r="C96" s="40">
        <f>Персонал!F13</f>
        <v>0</v>
      </c>
      <c r="D96" s="40">
        <f>Персонал!E27</f>
        <v>0</v>
      </c>
    </row>
    <row r="97" spans="1:7">
      <c r="A97" s="39" t="str">
        <f>Персонал!A14</f>
        <v xml:space="preserve">Документатор </v>
      </c>
      <c r="B97" s="40">
        <f>Персонал!E14</f>
        <v>0</v>
      </c>
      <c r="C97" s="40">
        <f>Персонал!F14</f>
        <v>0</v>
      </c>
      <c r="D97" s="40">
        <f>Персонал!E28</f>
        <v>0</v>
      </c>
    </row>
    <row r="98" spans="1:7">
      <c r="A98" s="39" t="str">
        <f>Персонал!A15</f>
        <v>Бухгалтер</v>
      </c>
      <c r="B98" s="40">
        <f>Персонал!E15</f>
        <v>0</v>
      </c>
      <c r="C98" s="40">
        <f>Персонал!F15</f>
        <v>0</v>
      </c>
      <c r="D98" s="40">
        <f>Персонал!E29</f>
        <v>0</v>
      </c>
    </row>
    <row r="99" spans="1:7">
      <c r="A99" s="39" t="str">
        <f>Персонал!A16</f>
        <v>Дизайнер</v>
      </c>
      <c r="B99" s="40">
        <f>Персонал!E16</f>
        <v>0</v>
      </c>
      <c r="C99" s="40">
        <f>Персонал!F16</f>
        <v>0</v>
      </c>
      <c r="D99" s="40">
        <f>Персонал!E30</f>
        <v>0</v>
      </c>
    </row>
    <row r="100" spans="1:7">
      <c r="A100" s="39" t="str">
        <f>Персонал!A17</f>
        <v>Маркетолог</v>
      </c>
      <c r="B100" s="40">
        <f>Персонал!E17</f>
        <v>0</v>
      </c>
      <c r="C100" s="40">
        <f>Персонал!F17</f>
        <v>0</v>
      </c>
      <c r="D100" s="40">
        <f>Персонал!E31</f>
        <v>0</v>
      </c>
    </row>
    <row r="101" spans="1:7">
      <c r="A101" s="39" t="str">
        <f>Персонал!A18</f>
        <v>IT- специалисты</v>
      </c>
      <c r="B101" s="40">
        <f>Персонал!E18</f>
        <v>0</v>
      </c>
      <c r="C101" s="40">
        <f>Персонал!F18</f>
        <v>0</v>
      </c>
      <c r="D101" s="40">
        <f>Персонал!E32</f>
        <v>0</v>
      </c>
    </row>
    <row r="102" spans="1:7">
      <c r="A102" s="39" t="str">
        <f>Персонал!A19</f>
        <v xml:space="preserve">Специалисты отдела технической поддержки и обучения </v>
      </c>
      <c r="B102" s="40">
        <f>Персонал!E19</f>
        <v>0</v>
      </c>
      <c r="C102" s="40">
        <f>Персонал!F19</f>
        <v>0</v>
      </c>
      <c r="D102" s="40">
        <f>Персонал!E33</f>
        <v>0</v>
      </c>
    </row>
    <row r="103" spans="1:7">
      <c r="A103" s="39" t="str">
        <f>Персонал!A20</f>
        <v xml:space="preserve">Менеджеры по продажам </v>
      </c>
      <c r="B103" s="40">
        <f>Персонал!E20</f>
        <v>0</v>
      </c>
      <c r="C103" s="40">
        <f>Персонал!F20</f>
        <v>0</v>
      </c>
      <c r="D103" s="40">
        <f>Персонал!E34</f>
        <v>0</v>
      </c>
    </row>
    <row r="104" spans="1:7">
      <c r="A104" s="39" t="str">
        <f>Персонал!A21</f>
        <v>Итого численность сотрудников</v>
      </c>
      <c r="B104" s="40">
        <f>Персонал!E21</f>
        <v>1</v>
      </c>
      <c r="C104" s="40">
        <f>Персонал!F21</f>
        <v>1</v>
      </c>
      <c r="D104" s="40">
        <f>Персонал!E35</f>
        <v>292500</v>
      </c>
    </row>
    <row r="106" spans="1:7">
      <c r="B106" s="67">
        <v>2024</v>
      </c>
      <c r="C106" s="67">
        <v>2025</v>
      </c>
      <c r="D106" s="67">
        <v>2026</v>
      </c>
      <c r="E106" s="67">
        <v>2027</v>
      </c>
      <c r="F106" s="67">
        <v>2028</v>
      </c>
      <c r="G106" s="67">
        <v>2029</v>
      </c>
    </row>
    <row r="107" spans="1:7">
      <c r="A107" s="39" t="s">
        <v>336</v>
      </c>
      <c r="B107" s="40">
        <f>Персонал!AC49/1000</f>
        <v>0</v>
      </c>
      <c r="C107" s="40">
        <f>Персонал!AD49/1000</f>
        <v>0</v>
      </c>
      <c r="D107" s="40">
        <f>Персонал!AE49/1000</f>
        <v>0</v>
      </c>
      <c r="E107" s="40">
        <f>Персонал!AF49/1000</f>
        <v>0</v>
      </c>
      <c r="F107" s="40">
        <f>Персонал!AG49/1000</f>
        <v>0</v>
      </c>
      <c r="G107" s="40">
        <f>Персонал!AH49/1000</f>
        <v>0</v>
      </c>
    </row>
    <row r="108" spans="1:7">
      <c r="A108" s="39" t="s">
        <v>383</v>
      </c>
      <c r="B108" s="40">
        <f>Персонал!AC50/1000</f>
        <v>3.4275150000000005</v>
      </c>
      <c r="C108" s="40">
        <f>Персонал!AD50/1000</f>
        <v>4.5700200000000004</v>
      </c>
      <c r="D108" s="40">
        <f>Персонал!AE50/1000</f>
        <v>4.5700200000000004</v>
      </c>
      <c r="E108" s="40">
        <f>Персонал!AF50/1000</f>
        <v>4.5700200000000004</v>
      </c>
      <c r="F108" s="40">
        <f>Персонал!AG50/1000</f>
        <v>4.5700200000000004</v>
      </c>
      <c r="G108" s="40">
        <f>Персонал!AH50/1000</f>
        <v>4.5700200000000004</v>
      </c>
    </row>
    <row r="109" spans="1:7">
      <c r="A109" s="39" t="s">
        <v>384</v>
      </c>
      <c r="B109" s="40">
        <f>Персонал!AC51/1000</f>
        <v>0</v>
      </c>
      <c r="C109" s="40">
        <f>Персонал!AD51/1000</f>
        <v>0</v>
      </c>
      <c r="D109" s="40">
        <f>Персонал!AE51/1000</f>
        <v>0</v>
      </c>
      <c r="E109" s="40">
        <f>Персонал!AF51/1000</f>
        <v>0</v>
      </c>
      <c r="F109" s="40">
        <f>Персонал!AG51/1000</f>
        <v>0</v>
      </c>
      <c r="G109" s="40">
        <f>Персонал!AH51/1000</f>
        <v>0</v>
      </c>
    </row>
    <row r="110" spans="1:7">
      <c r="A110" s="39" t="s">
        <v>385</v>
      </c>
      <c r="B110" s="40">
        <f>Затраты!AC58/1000</f>
        <v>0</v>
      </c>
      <c r="C110" s="40">
        <f>Затраты!AD58/1000</f>
        <v>0</v>
      </c>
      <c r="D110" s="40">
        <f>Затраты!AE58/1000</f>
        <v>0</v>
      </c>
      <c r="E110" s="40">
        <f>Затраты!AF58/1000</f>
        <v>0</v>
      </c>
      <c r="F110" s="40">
        <f>Затраты!AG58/1000</f>
        <v>0</v>
      </c>
      <c r="G110" s="40">
        <f>Затраты!AH58/1000</f>
        <v>0</v>
      </c>
    </row>
    <row r="111" spans="1:7">
      <c r="A111" s="73" t="s">
        <v>168</v>
      </c>
      <c r="B111" s="40">
        <f>Персонал!AC48/1000+B110</f>
        <v>3.4275150000000005</v>
      </c>
      <c r="C111" s="40">
        <f>Персонал!AD48/1000+C110</f>
        <v>4.5700200000000004</v>
      </c>
      <c r="D111" s="40">
        <f>Персонал!AE48/1000+D110</f>
        <v>4.5700200000000004</v>
      </c>
      <c r="E111" s="40">
        <f>Персонал!AF48/1000+E110</f>
        <v>4.5700200000000004</v>
      </c>
      <c r="F111" s="40">
        <f>Персонал!AG48/1000+F110</f>
        <v>4.5700200000000004</v>
      </c>
      <c r="G111" s="40">
        <f>Персонал!AH48/1000+G110</f>
        <v>4.5700200000000004</v>
      </c>
    </row>
    <row r="132" spans="1:7">
      <c r="A132" s="11" t="s">
        <v>133</v>
      </c>
      <c r="B132" s="40">
        <f>(Затраты!AC40)/1000</f>
        <v>3.9129128797025382E-2</v>
      </c>
      <c r="C132" s="40">
        <f>(Затраты!AD40)/1000</f>
        <v>2.1625073755942079</v>
      </c>
      <c r="D132" s="40">
        <f>(Затраты!AE40)/1000</f>
        <v>4.4831617579615211</v>
      </c>
      <c r="E132" s="40">
        <f>(Затраты!AF40)/1000</f>
        <v>7.4619439729975801</v>
      </c>
      <c r="F132" s="40">
        <f>(Затраты!AG40)/1000</f>
        <v>10.275305639134139</v>
      </c>
      <c r="G132" s="40">
        <f>(Затраты!AH40)/1000</f>
        <v>11.147004311341101</v>
      </c>
    </row>
    <row r="133" spans="1:7">
      <c r="A133" s="11" t="s">
        <v>386</v>
      </c>
      <c r="B133" s="40">
        <f>(Затраты!AC44+Затраты!AC50+Затраты!AC57+Затраты!AC58)/1000</f>
        <v>3.4275150000000005</v>
      </c>
      <c r="C133" s="40">
        <f>(Затраты!AD44+Затраты!AD50+Затраты!AD57+Затраты!AD58)/1000</f>
        <v>4.5700200000000004</v>
      </c>
      <c r="D133" s="40">
        <f>(Затраты!AE44+Затраты!AE50+Затраты!AE57+Затраты!AE58)/1000</f>
        <v>4.5700200000000004</v>
      </c>
      <c r="E133" s="40">
        <f>(Затраты!AF44+Затраты!AF50+Затраты!AF57+Затраты!AF58)/1000</f>
        <v>4.5700200000000004</v>
      </c>
      <c r="F133" s="40">
        <f>(Затраты!AG44+Затраты!AG50+Затраты!AG57+Затраты!AG58)/1000</f>
        <v>4.5700200000000004</v>
      </c>
      <c r="G133" s="40">
        <f>(Затраты!AH44+Затраты!AH50+Затраты!AH57+Затраты!AH58)/1000</f>
        <v>4.5700200000000004</v>
      </c>
    </row>
    <row r="134" spans="1:7">
      <c r="A134" s="11" t="str">
        <f>Затраты!A51</f>
        <v>Расходы на маркетинг</v>
      </c>
      <c r="B134" s="40">
        <f>(Затраты!AC51)/1000</f>
        <v>3.2311710589432385E-2</v>
      </c>
      <c r="C134" s="40">
        <f>(Затраты!AD51)/1000</f>
        <v>4.8093157598109074E-2</v>
      </c>
      <c r="D134" s="40">
        <f>(Затраты!AE51)/1000</f>
        <v>5.4300477665657508E-2</v>
      </c>
      <c r="E134" s="40">
        <f>(Затраты!AF51)/1000</f>
        <v>6.2087300309457819E-2</v>
      </c>
      <c r="F134" s="40">
        <f>(Затраты!AG51)/1000</f>
        <v>6.8334841021110315E-2</v>
      </c>
      <c r="G134" s="40">
        <f>(Затраты!AH51)/1000</f>
        <v>7.3021444216394171E-2</v>
      </c>
    </row>
    <row r="135" spans="1:7">
      <c r="A135" s="11" t="s">
        <v>138</v>
      </c>
      <c r="B135" s="40">
        <f>(Затраты!AC45+Затраты!AC63)/1000</f>
        <v>1.3043042932341796E-3</v>
      </c>
      <c r="C135" s="40">
        <f>(Затраты!AD45+Затраты!AD63)/1000</f>
        <v>0.14416715837294719</v>
      </c>
      <c r="D135" s="40">
        <f>(Затраты!AE45+Затраты!AE63)/1000</f>
        <v>0.29887745053076803</v>
      </c>
      <c r="E135" s="40">
        <f>(Затраты!AF45+Затраты!AF63)/1000</f>
        <v>0.49746293153317184</v>
      </c>
      <c r="F135" s="40">
        <f>(Затраты!AG45+Затраты!AG63)/1000</f>
        <v>0.68502037594227572</v>
      </c>
      <c r="G135" s="40">
        <f>(Затраты!AH45+Затраты!AH63)/1000</f>
        <v>0.74313362075607337</v>
      </c>
    </row>
    <row r="136" spans="1:7">
      <c r="A136" s="11" t="s">
        <v>136</v>
      </c>
      <c r="B136" s="40">
        <f>(Затраты!AC43)/1000</f>
        <v>0</v>
      </c>
      <c r="C136" s="40">
        <f>(Затраты!AD43)/1000</f>
        <v>0</v>
      </c>
      <c r="D136" s="40">
        <f>(Затраты!AE43)/1000</f>
        <v>0</v>
      </c>
      <c r="E136" s="40">
        <f>(Затраты!AF43)/1000</f>
        <v>0</v>
      </c>
      <c r="F136" s="40">
        <f>(Затраты!AG43)/1000</f>
        <v>0</v>
      </c>
      <c r="G136" s="40">
        <f>(Затраты!AH43)/1000</f>
        <v>0</v>
      </c>
    </row>
    <row r="137" spans="1:7">
      <c r="A137" s="11" t="s">
        <v>149</v>
      </c>
      <c r="B137" s="40">
        <f>(Затраты!AC60)/1000</f>
        <v>0</v>
      </c>
      <c r="C137" s="40">
        <f>(Затраты!AD60)/1000</f>
        <v>0</v>
      </c>
      <c r="D137" s="40">
        <f>(Затраты!AE60)/1000</f>
        <v>0</v>
      </c>
      <c r="E137" s="40">
        <f>(Затраты!AF60)/1000</f>
        <v>0</v>
      </c>
      <c r="F137" s="40">
        <f>(Затраты!AG60)/1000</f>
        <v>0</v>
      </c>
      <c r="G137" s="40">
        <f>(Затраты!AH60)/1000</f>
        <v>0</v>
      </c>
    </row>
    <row r="138" spans="1:7">
      <c r="A138" s="11" t="str">
        <f>Затраты!A49</f>
        <v>Командировки</v>
      </c>
      <c r="B138" s="40">
        <f>(Затраты!AC49)/1000</f>
        <v>0</v>
      </c>
      <c r="C138" s="40">
        <f>(Затраты!AD49)/1000</f>
        <v>0</v>
      </c>
      <c r="D138" s="40">
        <f>(Затраты!AE49)/1000</f>
        <v>0</v>
      </c>
      <c r="E138" s="40">
        <f>(Затраты!AF49)/1000</f>
        <v>0</v>
      </c>
      <c r="F138" s="40">
        <f>(Затраты!AG49)/1000</f>
        <v>0</v>
      </c>
      <c r="G138" s="40">
        <f>(Затраты!AH49)/1000</f>
        <v>0</v>
      </c>
    </row>
    <row r="139" spans="1:7">
      <c r="A139" s="11" t="s">
        <v>148</v>
      </c>
      <c r="B139" s="40">
        <f>(Затраты!AC59)/1000</f>
        <v>0</v>
      </c>
      <c r="C139" s="40">
        <f>(Затраты!AD59)/1000</f>
        <v>0</v>
      </c>
      <c r="D139" s="40">
        <f>(Затраты!AE59)/1000</f>
        <v>0</v>
      </c>
      <c r="E139" s="40">
        <f>(Затраты!AF59)/1000</f>
        <v>0</v>
      </c>
      <c r="F139" s="40">
        <f>(Затраты!AG59)/1000</f>
        <v>0</v>
      </c>
      <c r="G139" s="40">
        <f>(Затраты!AH59)/1000</f>
        <v>0</v>
      </c>
    </row>
    <row r="140" spans="1:7">
      <c r="A140" s="11" t="s">
        <v>387</v>
      </c>
      <c r="B140" s="40">
        <f>(Затраты!AC42)/1000</f>
        <v>1.9399999999999997E-2</v>
      </c>
      <c r="C140" s="40">
        <f>(Затраты!AD42)/1000</f>
        <v>1.9399999999999997E-2</v>
      </c>
      <c r="D140" s="40">
        <f>(Затраты!AE42)/1000</f>
        <v>1.9399999999999997E-2</v>
      </c>
      <c r="E140" s="40">
        <f>(Затраты!AF42)/1000</f>
        <v>1.9399999999999997E-2</v>
      </c>
      <c r="F140" s="40">
        <f>(Затраты!AG42)/1000</f>
        <v>1.9399999999999997E-2</v>
      </c>
      <c r="G140" s="40">
        <f>(Затраты!AH42)/1000</f>
        <v>1.9399999999999997E-2</v>
      </c>
    </row>
    <row r="141" spans="1:7">
      <c r="A141" s="39" t="s">
        <v>388</v>
      </c>
      <c r="B141" s="40">
        <f>SUM(B132:B140)</f>
        <v>3.519660143679693</v>
      </c>
      <c r="C141" s="40">
        <f t="shared" ref="C141:G141" si="3">SUM(C132:C140)</f>
        <v>6.9441876915652649</v>
      </c>
      <c r="D141" s="40">
        <f t="shared" si="3"/>
        <v>9.4257596861579458</v>
      </c>
      <c r="E141" s="40">
        <f t="shared" si="3"/>
        <v>12.610914204840208</v>
      </c>
      <c r="F141" s="40">
        <f t="shared" si="3"/>
        <v>15.618080856097524</v>
      </c>
      <c r="G141" s="40">
        <f t="shared" si="3"/>
        <v>16.55257937631357</v>
      </c>
    </row>
    <row r="160" spans="2:7">
      <c r="B160" s="67">
        <f>B67</f>
        <v>2024</v>
      </c>
      <c r="C160" s="67">
        <f t="shared" ref="C160:G160" si="4">C67</f>
        <v>2025</v>
      </c>
      <c r="D160" s="67">
        <f t="shared" si="4"/>
        <v>2026</v>
      </c>
      <c r="E160" s="67">
        <f t="shared" si="4"/>
        <v>2027</v>
      </c>
      <c r="F160" s="67">
        <f t="shared" si="4"/>
        <v>2028</v>
      </c>
      <c r="G160" s="67">
        <f t="shared" si="4"/>
        <v>2029</v>
      </c>
    </row>
    <row r="161" spans="1:7">
      <c r="A161" s="39" t="s">
        <v>12</v>
      </c>
      <c r="B161" s="40">
        <f>Инвестиции!AC62/1000</f>
        <v>3.5220836867836005</v>
      </c>
    </row>
    <row r="162" spans="1:7">
      <c r="A162" s="39" t="s">
        <v>389</v>
      </c>
      <c r="B162" s="40">
        <f t="shared" ref="B162:G162" si="5">B141</f>
        <v>3.519660143679693</v>
      </c>
      <c r="C162" s="40">
        <f t="shared" si="5"/>
        <v>6.9441876915652649</v>
      </c>
      <c r="D162" s="40">
        <f t="shared" si="5"/>
        <v>9.4257596861579458</v>
      </c>
      <c r="E162" s="40">
        <f t="shared" si="5"/>
        <v>12.610914204840208</v>
      </c>
      <c r="F162" s="40">
        <f t="shared" si="5"/>
        <v>15.618080856097524</v>
      </c>
      <c r="G162" s="40">
        <f t="shared" si="5"/>
        <v>16.55257937631357</v>
      </c>
    </row>
    <row r="163" spans="1:7">
      <c r="A163" s="39" t="s">
        <v>354</v>
      </c>
      <c r="B163" s="40">
        <f>B72</f>
        <v>4.3476809774472651E-2</v>
      </c>
      <c r="C163" s="40">
        <f t="shared" ref="C163:G163" si="6">C72</f>
        <v>4.8055719457649069</v>
      </c>
      <c r="D163" s="40">
        <f t="shared" si="6"/>
        <v>9.9625816843589341</v>
      </c>
      <c r="E163" s="40">
        <f t="shared" si="6"/>
        <v>16.582097717772395</v>
      </c>
      <c r="F163" s="40">
        <f t="shared" si="6"/>
        <v>22.83401253140919</v>
      </c>
      <c r="G163" s="40">
        <f t="shared" si="6"/>
        <v>24.771120691869111</v>
      </c>
    </row>
    <row r="164" spans="1:7">
      <c r="A164" s="39" t="s">
        <v>390</v>
      </c>
      <c r="B164" s="47"/>
      <c r="C164" s="47">
        <f>'Финансовые результаты'!AD51</f>
        <v>0</v>
      </c>
      <c r="D164" s="47">
        <f>'Финансовые результаты'!AE51</f>
        <v>0</v>
      </c>
      <c r="E164" s="47">
        <f>'Финансовые результаты'!AF51</f>
        <v>0</v>
      </c>
      <c r="F164" s="47">
        <f>'Финансовые результаты'!AG51</f>
        <v>0</v>
      </c>
      <c r="G164" s="47">
        <f>'Финансовые результаты'!AH51</f>
        <v>0</v>
      </c>
    </row>
    <row r="165" spans="1:7">
      <c r="B165" s="47"/>
      <c r="C165" s="47"/>
      <c r="D165" s="47"/>
      <c r="E165" s="47"/>
      <c r="F165" s="47"/>
      <c r="G165" s="47"/>
    </row>
    <row r="186" spans="1:7">
      <c r="A186" s="38" t="s">
        <v>391</v>
      </c>
      <c r="B186" s="40" t="s">
        <v>392</v>
      </c>
      <c r="C186" s="40" t="s">
        <v>381</v>
      </c>
      <c r="D186" s="40" t="s">
        <v>393</v>
      </c>
      <c r="E186" s="40" t="s">
        <v>394</v>
      </c>
      <c r="F186" s="40" t="s">
        <v>395</v>
      </c>
      <c r="G186" s="40" t="s">
        <v>396</v>
      </c>
    </row>
    <row r="187" spans="1:7">
      <c r="A187" s="39" t="s">
        <v>397</v>
      </c>
      <c r="B187" s="180"/>
      <c r="C187" s="181"/>
      <c r="D187" s="181"/>
      <c r="E187" s="181"/>
      <c r="F187" s="180"/>
      <c r="G187" s="180"/>
    </row>
    <row r="188" spans="1:7">
      <c r="A188" s="39" t="s">
        <v>398</v>
      </c>
      <c r="B188" s="180"/>
      <c r="C188" s="181"/>
      <c r="D188" s="181"/>
      <c r="E188" s="180"/>
      <c r="F188" s="181"/>
      <c r="G188" s="180"/>
    </row>
    <row r="189" spans="1:7">
      <c r="A189" s="39" t="s">
        <v>149</v>
      </c>
      <c r="B189" s="180"/>
      <c r="C189" s="181"/>
      <c r="D189" s="180"/>
      <c r="E189" s="180"/>
      <c r="F189" s="180"/>
      <c r="G189" s="180"/>
    </row>
    <row r="190" spans="1:7">
      <c r="A190" s="39" t="s">
        <v>399</v>
      </c>
      <c r="B190" s="180"/>
      <c r="C190" s="181"/>
      <c r="D190" s="181"/>
      <c r="E190" s="180"/>
      <c r="F190" s="180"/>
      <c r="G190" s="180"/>
    </row>
    <row r="191" spans="1:7">
      <c r="A191" s="39" t="s">
        <v>400</v>
      </c>
      <c r="B191" s="180"/>
      <c r="C191" s="181"/>
      <c r="D191" s="181"/>
      <c r="E191" s="181"/>
      <c r="F191" s="180"/>
      <c r="G191" s="180"/>
    </row>
    <row r="192" spans="1:7">
      <c r="A192" s="39" t="s">
        <v>401</v>
      </c>
      <c r="B192" s="180"/>
      <c r="C192" s="181"/>
      <c r="D192" s="181"/>
      <c r="E192" s="181"/>
      <c r="F192" s="181"/>
      <c r="G192" s="181"/>
    </row>
    <row r="193" spans="1:7">
      <c r="A193" s="39" t="s">
        <v>402</v>
      </c>
      <c r="B193" s="180"/>
      <c r="C193" s="180"/>
      <c r="D193" s="181"/>
      <c r="E193" s="180"/>
      <c r="F193" s="180"/>
      <c r="G193" s="180"/>
    </row>
    <row r="194" spans="1:7">
      <c r="A194" s="39" t="s">
        <v>403</v>
      </c>
      <c r="B194" s="180"/>
      <c r="C194" s="180"/>
      <c r="D194" s="180"/>
      <c r="E194" s="180"/>
      <c r="F194" s="181"/>
      <c r="G194" s="181"/>
    </row>
    <row r="195" spans="1:7">
      <c r="A195" s="39" t="s">
        <v>404</v>
      </c>
      <c r="B195" s="180"/>
      <c r="C195" s="180"/>
      <c r="D195" s="180"/>
      <c r="E195" s="180"/>
      <c r="F195" s="180"/>
      <c r="G195" s="181"/>
    </row>
    <row r="201" spans="1:7">
      <c r="D201" s="40" t="s">
        <v>19</v>
      </c>
      <c r="E201" s="40" t="s">
        <v>405</v>
      </c>
    </row>
    <row r="202" spans="1:7">
      <c r="A202" s="39" t="str">
        <f>D202</f>
        <v>Инвестиции</v>
      </c>
      <c r="B202" s="40">
        <f>B161</f>
        <v>3.5220836867836005</v>
      </c>
      <c r="D202" s="39" t="str">
        <f>A161</f>
        <v>Инвестиции</v>
      </c>
      <c r="E202" s="40">
        <f>B161</f>
        <v>3.5220836867836005</v>
      </c>
    </row>
    <row r="203" spans="1:7">
      <c r="A203" s="39" t="str">
        <f>'Финансовые результаты'!A43</f>
        <v>Выручка</v>
      </c>
      <c r="B203" s="40">
        <f>('Финансовые результаты'!Q43)/1000</f>
        <v>3.8976442373139495</v>
      </c>
      <c r="D203" s="39" t="s">
        <v>406</v>
      </c>
      <c r="E203" s="40">
        <f t="shared" ref="E203:E204" si="7">FLOOR(B203,1)</f>
        <v>3</v>
      </c>
    </row>
    <row r="204" spans="1:7">
      <c r="A204" s="39" t="str">
        <f>'Финансовые результаты'!A111</f>
        <v>Рыночная стоимость инвестированного капитала, тыс. руб.</v>
      </c>
      <c r="B204" s="40">
        <f>('Финансовые результаты'!Q111)/1000</f>
        <v>30.951388575669597</v>
      </c>
      <c r="D204" s="39" t="s">
        <v>407</v>
      </c>
      <c r="E204" s="40">
        <f t="shared" si="7"/>
        <v>30</v>
      </c>
    </row>
    <row r="214" spans="1:7">
      <c r="A214" s="39" t="s">
        <v>408</v>
      </c>
      <c r="B214" s="40" t="s">
        <v>409</v>
      </c>
      <c r="C214" s="40" t="s">
        <v>410</v>
      </c>
      <c r="D214" s="40" t="str">
        <f>C214</f>
        <v>Мир</v>
      </c>
      <c r="E214" s="40" t="s">
        <v>409</v>
      </c>
      <c r="F214" s="40" t="s">
        <v>410</v>
      </c>
      <c r="G214" s="40" t="s">
        <v>411</v>
      </c>
    </row>
    <row r="215" spans="1:7">
      <c r="A215" s="39" t="s">
        <v>412</v>
      </c>
      <c r="E215" s="40" t="s">
        <v>413</v>
      </c>
      <c r="F215" s="40" t="s">
        <v>414</v>
      </c>
      <c r="G215" s="40" t="s">
        <v>415</v>
      </c>
    </row>
    <row r="216" spans="1:7">
      <c r="A216" s="182" t="s">
        <v>416</v>
      </c>
      <c r="B216" s="173"/>
      <c r="E216" s="40">
        <v>335</v>
      </c>
      <c r="F216" s="40">
        <v>98</v>
      </c>
      <c r="G216" s="40">
        <v>14.035349999999999</v>
      </c>
    </row>
    <row r="217" spans="1:7">
      <c r="A217" s="182" t="s">
        <v>417</v>
      </c>
      <c r="B217" s="173">
        <f t="shared" ref="B217:D218" si="8">E217/E216-1</f>
        <v>0.57313432835820888</v>
      </c>
      <c r="C217" s="173">
        <f t="shared" si="8"/>
        <v>0.11224489795918369</v>
      </c>
      <c r="D217" s="173">
        <f t="shared" si="8"/>
        <v>0.13997869664810647</v>
      </c>
      <c r="E217" s="40">
        <v>527</v>
      </c>
      <c r="F217" s="40">
        <v>109</v>
      </c>
      <c r="G217" s="40">
        <v>16</v>
      </c>
    </row>
    <row r="218" spans="1:7">
      <c r="A218" s="182" t="s">
        <v>418</v>
      </c>
      <c r="B218" s="173">
        <f t="shared" si="8"/>
        <v>0.85958254269449719</v>
      </c>
      <c r="C218" s="173">
        <f t="shared" si="8"/>
        <v>2.2935779816513762</v>
      </c>
      <c r="D218" s="173">
        <f t="shared" si="8"/>
        <v>1.1375000000000002</v>
      </c>
      <c r="E218" s="40">
        <v>980</v>
      </c>
      <c r="F218" s="40">
        <v>359</v>
      </c>
      <c r="G218" s="40">
        <v>34.200000000000003</v>
      </c>
    </row>
    <row r="222" spans="1:7">
      <c r="A222" s="183" t="s">
        <v>419</v>
      </c>
      <c r="B222" s="183" t="s">
        <v>409</v>
      </c>
      <c r="C222" s="183" t="s">
        <v>410</v>
      </c>
    </row>
    <row r="223" spans="1:7">
      <c r="A223" s="184">
        <v>2025</v>
      </c>
      <c r="B223" s="185">
        <f t="shared" ref="B223:B224" si="9">B217</f>
        <v>0.57313432835820888</v>
      </c>
      <c r="C223" s="185">
        <f t="shared" ref="C223:C224" si="10">C217</f>
        <v>0.11224489795918369</v>
      </c>
    </row>
    <row r="224" spans="1:7">
      <c r="A224" s="184">
        <v>2030</v>
      </c>
      <c r="B224" s="185">
        <f t="shared" si="9"/>
        <v>0.85958254269449719</v>
      </c>
      <c r="C224" s="185">
        <f t="shared" si="10"/>
        <v>2.2935779816513762</v>
      </c>
    </row>
    <row r="227" spans="1:7">
      <c r="A227" s="183" t="s">
        <v>419</v>
      </c>
      <c r="B227" s="183" t="s">
        <v>420</v>
      </c>
      <c r="C227" s="183" t="s">
        <v>421</v>
      </c>
    </row>
    <row r="228" spans="1:7">
      <c r="A228" s="184">
        <v>2023</v>
      </c>
      <c r="B228" s="186">
        <f t="shared" ref="B228:B230" si="11">E216</f>
        <v>335</v>
      </c>
      <c r="C228" s="187">
        <f t="shared" ref="C228:C230" si="12">F216</f>
        <v>98</v>
      </c>
      <c r="F228" s="173"/>
      <c r="G228" s="173"/>
    </row>
    <row r="229" spans="1:7">
      <c r="A229" s="184">
        <v>2025</v>
      </c>
      <c r="B229" s="186">
        <f t="shared" si="11"/>
        <v>527</v>
      </c>
      <c r="C229" s="187">
        <f t="shared" si="12"/>
        <v>109</v>
      </c>
    </row>
    <row r="230" spans="1:7">
      <c r="A230" s="184">
        <v>2030</v>
      </c>
      <c r="B230" s="186">
        <f t="shared" si="11"/>
        <v>980</v>
      </c>
      <c r="C230" s="187">
        <f t="shared" si="12"/>
        <v>359</v>
      </c>
    </row>
    <row r="232" spans="1:7">
      <c r="A232" s="183" t="s">
        <v>419</v>
      </c>
      <c r="B232" s="183" t="s">
        <v>422</v>
      </c>
    </row>
    <row r="233" spans="1:7">
      <c r="A233" s="184">
        <v>2023</v>
      </c>
      <c r="B233" s="186">
        <f t="shared" ref="B233:B235" si="13">G216</f>
        <v>14.035349999999999</v>
      </c>
    </row>
    <row r="234" spans="1:7">
      <c r="A234" s="184">
        <v>2025</v>
      </c>
      <c r="B234" s="186">
        <f t="shared" si="13"/>
        <v>16</v>
      </c>
    </row>
    <row r="235" spans="1:7">
      <c r="A235" s="184">
        <v>2030</v>
      </c>
      <c r="B235" s="186">
        <f t="shared" si="13"/>
        <v>34.200000000000003</v>
      </c>
      <c r="D235" s="40">
        <f>POWER(B235/B233-1,8)</f>
        <v>18.152628908701349</v>
      </c>
    </row>
    <row r="237" spans="1:7">
      <c r="A237" s="39" t="s">
        <v>423</v>
      </c>
    </row>
    <row r="239" spans="1:7">
      <c r="A239" s="39" t="s">
        <v>424</v>
      </c>
      <c r="B239" s="173">
        <v>0.31</v>
      </c>
    </row>
    <row r="240" spans="1:7">
      <c r="A240" s="39" t="s">
        <v>425</v>
      </c>
      <c r="B240" s="173">
        <v>0.32</v>
      </c>
    </row>
    <row r="241" spans="1:2">
      <c r="A241" s="39" t="s">
        <v>426</v>
      </c>
      <c r="B241" s="173">
        <v>0.34</v>
      </c>
    </row>
    <row r="242" spans="1:2">
      <c r="A242" s="39" t="s">
        <v>427</v>
      </c>
      <c r="B242" s="173">
        <v>0.37</v>
      </c>
    </row>
    <row r="243" spans="1:2">
      <c r="A243" s="39" t="s">
        <v>428</v>
      </c>
      <c r="B243" s="173">
        <v>0.37</v>
      </c>
    </row>
    <row r="244" spans="1:2">
      <c r="A244" s="39" t="s">
        <v>429</v>
      </c>
      <c r="B244" s="173">
        <v>0.39</v>
      </c>
    </row>
    <row r="245" spans="1:2">
      <c r="A245" s="39" t="s">
        <v>430</v>
      </c>
      <c r="B245" s="173">
        <v>0.39</v>
      </c>
    </row>
    <row r="246" spans="1:2">
      <c r="A246" s="39" t="s">
        <v>431</v>
      </c>
      <c r="B246" s="173">
        <v>0.4</v>
      </c>
    </row>
    <row r="247" spans="1:2">
      <c r="A247" s="39" t="s">
        <v>432</v>
      </c>
      <c r="B247" s="173">
        <v>0.47</v>
      </c>
    </row>
    <row r="248" spans="1:2">
      <c r="A248" s="39" t="s">
        <v>433</v>
      </c>
      <c r="B248" s="173">
        <v>0.5</v>
      </c>
    </row>
  </sheetData>
  <sortState xmlns:xlrd2="http://schemas.microsoft.com/office/spreadsheetml/2017/richdata2" ref="A236:B245">
    <sortCondition ref="B236"/>
  </sortState>
  <mergeCells count="17">
    <mergeCell ref="G15:H15"/>
    <mergeCell ref="J15:Q15"/>
    <mergeCell ref="A91:A92"/>
    <mergeCell ref="B91:C91"/>
    <mergeCell ref="D91:D92"/>
    <mergeCell ref="G12:H12"/>
    <mergeCell ref="J12:Q12"/>
    <mergeCell ref="G13:H13"/>
    <mergeCell ref="J13:Q13"/>
    <mergeCell ref="G14:H14"/>
    <mergeCell ref="J14:Q14"/>
    <mergeCell ref="G9:H9"/>
    <mergeCell ref="J9:S9"/>
    <mergeCell ref="G10:H10"/>
    <mergeCell ref="J10:Q10"/>
    <mergeCell ref="G11:H11"/>
    <mergeCell ref="J11:Q11"/>
  </mergeCells>
  <pageMargins left="0.7" right="0.7" top="0.75" bottom="0.75" header="0.3" footer="0.3"/>
  <pageSetup paperSize="9" orientation="portrait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outlinePr summaryBelow="0"/>
  </sheetPr>
  <dimension ref="A2:AC98"/>
  <sheetViews>
    <sheetView tabSelected="1" zoomScale="85" workbookViewId="0">
      <pane xSplit="2" ySplit="6" topLeftCell="C72" activePane="bottomRight" state="frozen"/>
      <selection activeCell="A33" sqref="A33"/>
      <selection pane="topRight"/>
      <selection pane="bottomLeft"/>
      <selection pane="bottomRight" activeCell="C90" sqref="C90"/>
    </sheetView>
  </sheetViews>
  <sheetFormatPr defaultColWidth="9.109375" defaultRowHeight="13.2"/>
  <cols>
    <col min="1" max="1" width="56.6640625" style="11" customWidth="1"/>
    <col min="2" max="2" width="14.33203125" style="12" customWidth="1"/>
    <col min="3" max="3" width="11.5546875" style="11" customWidth="1"/>
    <col min="4" max="16" width="11.44140625" style="11" customWidth="1"/>
    <col min="17" max="17" width="10.5546875" style="11" bestFit="1" customWidth="1"/>
    <col min="18" max="19" width="11.44140625" style="11" customWidth="1"/>
    <col min="20" max="20" width="11.109375" style="13" customWidth="1"/>
    <col min="21" max="27" width="11.109375" style="11" customWidth="1"/>
    <col min="28" max="28" width="9.109375" style="11"/>
    <col min="29" max="29" width="37.33203125" style="11" customWidth="1"/>
    <col min="30" max="16384" width="9.109375" style="11"/>
  </cols>
  <sheetData>
    <row r="2" spans="1:29">
      <c r="A2" s="14" t="str">
        <f>'Титульный лист'!$B$2</f>
        <v>Бизнес-план проекта Indoor Air Technologies</v>
      </c>
      <c r="B2" s="15"/>
      <c r="C2" s="16"/>
    </row>
    <row r="4" spans="1:29">
      <c r="A4" s="17" t="s">
        <v>18</v>
      </c>
      <c r="B4" s="15"/>
      <c r="C4" s="16"/>
    </row>
    <row r="5" spans="1:29">
      <c r="D5" s="18">
        <v>2024</v>
      </c>
      <c r="E5" s="18">
        <v>2024</v>
      </c>
      <c r="F5" s="18">
        <v>2024</v>
      </c>
      <c r="G5" s="18">
        <v>2024</v>
      </c>
      <c r="H5" s="18">
        <f>D5+1</f>
        <v>2025</v>
      </c>
      <c r="I5" s="18">
        <f t="shared" ref="I5:O5" si="0">E5+1</f>
        <v>2025</v>
      </c>
      <c r="J5" s="18">
        <f t="shared" si="0"/>
        <v>2025</v>
      </c>
      <c r="K5" s="18">
        <f t="shared" si="0"/>
        <v>2025</v>
      </c>
      <c r="L5" s="18">
        <f t="shared" si="0"/>
        <v>2026</v>
      </c>
      <c r="M5" s="18">
        <f t="shared" si="0"/>
        <v>2026</v>
      </c>
      <c r="N5" s="18">
        <f t="shared" si="0"/>
        <v>2026</v>
      </c>
      <c r="O5" s="18">
        <f t="shared" si="0"/>
        <v>2026</v>
      </c>
      <c r="P5" s="18">
        <f t="shared" ref="P5:AA5" si="1">L5+1</f>
        <v>2027</v>
      </c>
      <c r="Q5" s="18">
        <f t="shared" si="1"/>
        <v>2027</v>
      </c>
      <c r="R5" s="18">
        <f t="shared" si="1"/>
        <v>2027</v>
      </c>
      <c r="S5" s="18">
        <f t="shared" si="1"/>
        <v>2027</v>
      </c>
      <c r="T5" s="18">
        <f t="shared" si="1"/>
        <v>2028</v>
      </c>
      <c r="U5" s="18">
        <f t="shared" si="1"/>
        <v>2028</v>
      </c>
      <c r="V5" s="18">
        <f t="shared" si="1"/>
        <v>2028</v>
      </c>
      <c r="W5" s="18">
        <f t="shared" si="1"/>
        <v>2028</v>
      </c>
      <c r="X5" s="18">
        <f t="shared" si="1"/>
        <v>2029</v>
      </c>
      <c r="Y5" s="18">
        <f t="shared" si="1"/>
        <v>2029</v>
      </c>
      <c r="Z5" s="18">
        <f t="shared" si="1"/>
        <v>2029</v>
      </c>
      <c r="AA5" s="18">
        <f t="shared" si="1"/>
        <v>2029</v>
      </c>
    </row>
    <row r="6" spans="1:29">
      <c r="A6" s="19" t="s">
        <v>19</v>
      </c>
      <c r="B6" s="20" t="s">
        <v>20</v>
      </c>
      <c r="C6" s="21"/>
      <c r="D6" s="22" t="s">
        <v>21</v>
      </c>
      <c r="E6" s="22" t="s">
        <v>22</v>
      </c>
      <c r="F6" s="22" t="s">
        <v>23</v>
      </c>
      <c r="G6" s="22" t="s">
        <v>24</v>
      </c>
      <c r="H6" s="22" t="s">
        <v>25</v>
      </c>
      <c r="I6" s="22" t="s">
        <v>26</v>
      </c>
      <c r="J6" s="22" t="s">
        <v>27</v>
      </c>
      <c r="K6" s="22" t="s">
        <v>28</v>
      </c>
      <c r="L6" s="22" t="s">
        <v>29</v>
      </c>
      <c r="M6" s="22" t="s">
        <v>30</v>
      </c>
      <c r="N6" s="22" t="s">
        <v>31</v>
      </c>
      <c r="O6" s="22" t="s">
        <v>32</v>
      </c>
      <c r="P6" s="22" t="s">
        <v>33</v>
      </c>
      <c r="Q6" s="22" t="s">
        <v>34</v>
      </c>
      <c r="R6" s="22" t="s">
        <v>35</v>
      </c>
      <c r="S6" s="22" t="s">
        <v>36</v>
      </c>
      <c r="T6" s="22" t="s">
        <v>37</v>
      </c>
      <c r="U6" s="22" t="s">
        <v>38</v>
      </c>
      <c r="V6" s="22" t="s">
        <v>39</v>
      </c>
      <c r="W6" s="22" t="s">
        <v>40</v>
      </c>
      <c r="X6" s="22" t="s">
        <v>41</v>
      </c>
      <c r="Y6" s="22" t="s">
        <v>42</v>
      </c>
      <c r="Z6" s="22" t="s">
        <v>43</v>
      </c>
      <c r="AA6" s="22" t="s">
        <v>44</v>
      </c>
      <c r="AC6" s="22" t="s">
        <v>45</v>
      </c>
    </row>
    <row r="7" spans="1:29" ht="13.8">
      <c r="A7" s="23" t="s">
        <v>46</v>
      </c>
      <c r="B7" s="11"/>
      <c r="C7" s="24"/>
      <c r="D7" s="24">
        <v>0.25</v>
      </c>
      <c r="E7" s="24">
        <v>0.25</v>
      </c>
      <c r="F7" s="24">
        <v>0.25</v>
      </c>
      <c r="G7" s="24">
        <v>0.25</v>
      </c>
      <c r="H7" s="24">
        <v>0.25</v>
      </c>
      <c r="I7" s="24">
        <v>0.25</v>
      </c>
      <c r="J7" s="24">
        <v>0.25</v>
      </c>
      <c r="K7" s="24">
        <v>0.25</v>
      </c>
      <c r="L7" s="24">
        <v>0.25</v>
      </c>
      <c r="M7" s="24">
        <v>0.25</v>
      </c>
      <c r="N7" s="24">
        <v>0.25</v>
      </c>
      <c r="O7" s="24">
        <v>0.25</v>
      </c>
      <c r="P7" s="24">
        <v>0.25</v>
      </c>
      <c r="Q7" s="24">
        <v>0.25</v>
      </c>
      <c r="R7" s="24">
        <v>0.25</v>
      </c>
      <c r="S7" s="24">
        <v>0.25</v>
      </c>
      <c r="T7" s="24">
        <v>0.25</v>
      </c>
      <c r="U7" s="24">
        <v>0.25</v>
      </c>
      <c r="V7" s="24">
        <v>0.25</v>
      </c>
      <c r="W7" s="24">
        <v>0.25</v>
      </c>
      <c r="X7" s="24">
        <v>0.25</v>
      </c>
      <c r="Y7" s="24">
        <v>0.25</v>
      </c>
      <c r="Z7" s="24">
        <v>0.25</v>
      </c>
      <c r="AA7" s="24">
        <v>0.25</v>
      </c>
    </row>
    <row r="8" spans="1:29" ht="13.8">
      <c r="A8" s="25" t="s">
        <v>47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9" ht="13.8">
      <c r="A9" s="28" t="s">
        <v>48</v>
      </c>
      <c r="B9" s="29" t="s">
        <v>49</v>
      </c>
      <c r="C9" s="30"/>
      <c r="D9" s="31">
        <f t="shared" ref="D9:O11" si="2">(1+HLOOKUP(D$5,$E$19:$L$22,$D20,FALSE))^(D$7)-1</f>
        <v>3.7578249091094751E-2</v>
      </c>
      <c r="E9" s="31">
        <f t="shared" si="2"/>
        <v>3.7578249091094751E-2</v>
      </c>
      <c r="F9" s="31">
        <f t="shared" si="2"/>
        <v>3.7578249091094751E-2</v>
      </c>
      <c r="G9" s="31">
        <f t="shared" si="2"/>
        <v>3.7578249091094751E-2</v>
      </c>
      <c r="H9" s="31">
        <f t="shared" si="2"/>
        <v>2.9654632610316423E-2</v>
      </c>
      <c r="I9" s="31">
        <f t="shared" si="2"/>
        <v>2.9654632610316423E-2</v>
      </c>
      <c r="J9" s="31">
        <f t="shared" si="2"/>
        <v>2.9654632610316423E-2</v>
      </c>
      <c r="K9" s="31">
        <f t="shared" si="2"/>
        <v>2.9654632610316423E-2</v>
      </c>
      <c r="L9" s="31">
        <f t="shared" si="2"/>
        <v>3.1481888479691689E-2</v>
      </c>
      <c r="M9" s="31">
        <f t="shared" si="2"/>
        <v>3.1481888479691689E-2</v>
      </c>
      <c r="N9" s="31">
        <f t="shared" si="2"/>
        <v>3.1481888479691689E-2</v>
      </c>
      <c r="O9" s="31">
        <f t="shared" si="2"/>
        <v>3.1481888479691689E-2</v>
      </c>
      <c r="P9" s="31">
        <f t="shared" ref="P9:W11" si="3">(1+HLOOKUP(P$5,$E$19:$L$22,$D20,FALSE))^(P$7)-1</f>
        <v>3.5558076341622114E-2</v>
      </c>
      <c r="Q9" s="31">
        <f t="shared" si="3"/>
        <v>3.5558076341622114E-2</v>
      </c>
      <c r="R9" s="31">
        <f t="shared" si="3"/>
        <v>3.5558076341622114E-2</v>
      </c>
      <c r="S9" s="31">
        <f t="shared" si="3"/>
        <v>3.5558076341622114E-2</v>
      </c>
      <c r="T9" s="31">
        <f t="shared" si="3"/>
        <v>1.7770668179371674E-2</v>
      </c>
      <c r="U9" s="31">
        <f t="shared" si="3"/>
        <v>1.7770668179371674E-2</v>
      </c>
      <c r="V9" s="31">
        <f t="shared" si="3"/>
        <v>1.7770668179371674E-2</v>
      </c>
      <c r="W9" s="31">
        <f t="shared" si="3"/>
        <v>1.7770668179371674E-2</v>
      </c>
      <c r="X9" s="31">
        <f t="shared" ref="X9:AA11" si="4">(1+HLOOKUP(X$5,$E$19:$L$22,$D20,FALSE))^(X$7)-1</f>
        <v>1.6106667595102708E-2</v>
      </c>
      <c r="Y9" s="31">
        <f t="shared" si="4"/>
        <v>1.6106667595102708E-2</v>
      </c>
      <c r="Z9" s="31">
        <f t="shared" si="4"/>
        <v>1.6106667595102708E-2</v>
      </c>
      <c r="AA9" s="31">
        <f t="shared" si="4"/>
        <v>1.6106667595102708E-2</v>
      </c>
      <c r="AC9" s="13" t="s">
        <v>50</v>
      </c>
    </row>
    <row r="10" spans="1:29" ht="13.8">
      <c r="A10" s="32" t="s">
        <v>51</v>
      </c>
      <c r="B10" s="29" t="s">
        <v>49</v>
      </c>
      <c r="C10" s="30"/>
      <c r="D10" s="31">
        <f t="shared" si="2"/>
        <v>1.9898176248819288E-2</v>
      </c>
      <c r="E10" s="31">
        <f t="shared" si="2"/>
        <v>1.9898176248819288E-2</v>
      </c>
      <c r="F10" s="31">
        <f t="shared" si="2"/>
        <v>1.9898176248819288E-2</v>
      </c>
      <c r="G10" s="31">
        <f t="shared" si="2"/>
        <v>1.9898176248819288E-2</v>
      </c>
      <c r="H10" s="31">
        <f t="shared" si="2"/>
        <v>2.7126161477855959E-2</v>
      </c>
      <c r="I10" s="31">
        <f t="shared" si="2"/>
        <v>2.7126161477855959E-2</v>
      </c>
      <c r="J10" s="31">
        <f t="shared" si="2"/>
        <v>2.7126161477855959E-2</v>
      </c>
      <c r="K10" s="31">
        <f t="shared" si="2"/>
        <v>2.7126161477855959E-2</v>
      </c>
      <c r="L10" s="31">
        <f t="shared" si="2"/>
        <v>2.4113689084445111E-2</v>
      </c>
      <c r="M10" s="31">
        <f t="shared" si="2"/>
        <v>2.4113689084445111E-2</v>
      </c>
      <c r="N10" s="31">
        <f t="shared" si="2"/>
        <v>2.4113689084445111E-2</v>
      </c>
      <c r="O10" s="31">
        <f t="shared" si="2"/>
        <v>2.4113689084445111E-2</v>
      </c>
      <c r="P10" s="31">
        <f t="shared" si="3"/>
        <v>2.1778180864641117E-2</v>
      </c>
      <c r="Q10" s="31">
        <f t="shared" si="3"/>
        <v>2.1778180864641117E-2</v>
      </c>
      <c r="R10" s="31">
        <f t="shared" si="3"/>
        <v>2.1778180864641117E-2</v>
      </c>
      <c r="S10" s="31">
        <f t="shared" si="3"/>
        <v>2.1778180864641117E-2</v>
      </c>
      <c r="T10" s="31">
        <f t="shared" si="3"/>
        <v>1.9898176248819288E-2</v>
      </c>
      <c r="U10" s="31">
        <f t="shared" si="3"/>
        <v>1.9898176248819288E-2</v>
      </c>
      <c r="V10" s="31">
        <f t="shared" si="3"/>
        <v>1.9898176248819288E-2</v>
      </c>
      <c r="W10" s="31">
        <f t="shared" si="3"/>
        <v>1.9898176248819288E-2</v>
      </c>
      <c r="X10" s="31">
        <f t="shared" si="4"/>
        <v>1.5152127633617285E-2</v>
      </c>
      <c r="Y10" s="31">
        <f t="shared" si="4"/>
        <v>1.5152127633617285E-2</v>
      </c>
      <c r="Z10" s="31">
        <f t="shared" si="4"/>
        <v>1.5152127633617285E-2</v>
      </c>
      <c r="AA10" s="31">
        <f t="shared" si="4"/>
        <v>1.5152127633617285E-2</v>
      </c>
      <c r="AC10" s="13" t="s">
        <v>50</v>
      </c>
    </row>
    <row r="11" spans="1:29" ht="13.8">
      <c r="A11" s="28" t="s">
        <v>52</v>
      </c>
      <c r="B11" s="29" t="s">
        <v>49</v>
      </c>
      <c r="C11" s="30"/>
      <c r="D11" s="31">
        <f t="shared" si="2"/>
        <v>5.8224163963450648E-2</v>
      </c>
      <c r="E11" s="31">
        <f t="shared" si="2"/>
        <v>5.8224163963450648E-2</v>
      </c>
      <c r="F11" s="31">
        <f t="shared" si="2"/>
        <v>5.8224163963450648E-2</v>
      </c>
      <c r="G11" s="31">
        <f t="shared" si="2"/>
        <v>5.8224163963450648E-2</v>
      </c>
      <c r="H11" s="31">
        <f t="shared" si="2"/>
        <v>5.758521044092646E-2</v>
      </c>
      <c r="I11" s="31">
        <f t="shared" si="2"/>
        <v>5.758521044092646E-2</v>
      </c>
      <c r="J11" s="31">
        <f t="shared" si="2"/>
        <v>5.758521044092646E-2</v>
      </c>
      <c r="K11" s="31">
        <f t="shared" si="2"/>
        <v>5.758521044092646E-2</v>
      </c>
      <c r="L11" s="31">
        <f t="shared" si="2"/>
        <v>5.6354722034727134E-2</v>
      </c>
      <c r="M11" s="31">
        <f t="shared" si="2"/>
        <v>5.6354722034727134E-2</v>
      </c>
      <c r="N11" s="31">
        <f t="shared" si="2"/>
        <v>5.6354722034727134E-2</v>
      </c>
      <c r="O11" s="31">
        <f t="shared" si="2"/>
        <v>5.6354722034727134E-2</v>
      </c>
      <c r="P11" s="31">
        <f t="shared" si="3"/>
        <v>5.8110647424029604E-2</v>
      </c>
      <c r="Q11" s="31">
        <f t="shared" si="3"/>
        <v>5.8110647424029604E-2</v>
      </c>
      <c r="R11" s="31">
        <f t="shared" si="3"/>
        <v>5.8110647424029604E-2</v>
      </c>
      <c r="S11" s="31">
        <f t="shared" si="3"/>
        <v>5.8110647424029604E-2</v>
      </c>
      <c r="T11" s="31">
        <f t="shared" si="3"/>
        <v>3.8022448315683466E-2</v>
      </c>
      <c r="U11" s="31">
        <f t="shared" si="3"/>
        <v>3.8022448315683466E-2</v>
      </c>
      <c r="V11" s="31">
        <f t="shared" si="3"/>
        <v>3.8022448315683466E-2</v>
      </c>
      <c r="W11" s="31">
        <f t="shared" si="3"/>
        <v>3.8022448315683466E-2</v>
      </c>
      <c r="X11" s="31">
        <f t="shared" si="4"/>
        <v>3.1502845511873323E-2</v>
      </c>
      <c r="Y11" s="31">
        <f t="shared" si="4"/>
        <v>3.1502845511873323E-2</v>
      </c>
      <c r="Z11" s="31">
        <f t="shared" si="4"/>
        <v>3.1502845511873323E-2</v>
      </c>
      <c r="AA11" s="31">
        <f t="shared" si="4"/>
        <v>3.1502845511873323E-2</v>
      </c>
      <c r="AC11" s="13" t="s">
        <v>50</v>
      </c>
    </row>
    <row r="12" spans="1:29" ht="13.8">
      <c r="A12" s="25" t="s">
        <v>53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9" ht="13.8">
      <c r="A13" s="28" t="s">
        <v>54</v>
      </c>
      <c r="B13" s="29" t="s">
        <v>49</v>
      </c>
      <c r="C13" s="30"/>
      <c r="D13" s="33">
        <v>0.3</v>
      </c>
      <c r="E13" s="33">
        <f t="shared" ref="E13:E17" si="5">D13</f>
        <v>0.3</v>
      </c>
      <c r="F13" s="33">
        <f t="shared" ref="F13:F17" si="6">E13</f>
        <v>0.3</v>
      </c>
      <c r="G13" s="33">
        <f t="shared" ref="G13:G17" si="7">F13</f>
        <v>0.3</v>
      </c>
      <c r="H13" s="33">
        <f t="shared" ref="H13:O17" si="8">G13</f>
        <v>0.3</v>
      </c>
      <c r="I13" s="33">
        <f t="shared" si="8"/>
        <v>0.3</v>
      </c>
      <c r="J13" s="33">
        <f t="shared" si="8"/>
        <v>0.3</v>
      </c>
      <c r="K13" s="33">
        <f t="shared" si="8"/>
        <v>0.3</v>
      </c>
      <c r="L13" s="33">
        <f t="shared" si="8"/>
        <v>0.3</v>
      </c>
      <c r="M13" s="33">
        <f t="shared" si="8"/>
        <v>0.3</v>
      </c>
      <c r="N13" s="33">
        <f t="shared" si="8"/>
        <v>0.3</v>
      </c>
      <c r="O13" s="33">
        <f t="shared" si="8"/>
        <v>0.3</v>
      </c>
      <c r="P13" s="33">
        <f t="shared" ref="P13:P17" si="9">O13</f>
        <v>0.3</v>
      </c>
      <c r="Q13" s="33">
        <f t="shared" ref="Q13:Q17" si="10">P13</f>
        <v>0.3</v>
      </c>
      <c r="R13" s="33">
        <f t="shared" ref="R13:R17" si="11">Q13</f>
        <v>0.3</v>
      </c>
      <c r="S13" s="33">
        <f t="shared" ref="S13:S17" si="12">R13</f>
        <v>0.3</v>
      </c>
      <c r="T13" s="33">
        <f t="shared" ref="T13:T17" si="13">S13</f>
        <v>0.3</v>
      </c>
      <c r="U13" s="33">
        <f t="shared" ref="U13:U17" si="14">T13</f>
        <v>0.3</v>
      </c>
      <c r="V13" s="33">
        <f t="shared" ref="V13:V17" si="15">U13</f>
        <v>0.3</v>
      </c>
      <c r="W13" s="33">
        <f t="shared" ref="W13:W17" si="16">V13</f>
        <v>0.3</v>
      </c>
      <c r="X13" s="33">
        <f t="shared" ref="X13:X17" si="17">W13</f>
        <v>0.3</v>
      </c>
      <c r="Y13" s="33">
        <f t="shared" ref="Y13:Y17" si="18">X13</f>
        <v>0.3</v>
      </c>
      <c r="Z13" s="33">
        <f t="shared" ref="Z13:Z17" si="19">Y13</f>
        <v>0.3</v>
      </c>
      <c r="AA13" s="33">
        <f t="shared" ref="AA13:AA17" si="20">Z13</f>
        <v>0.3</v>
      </c>
      <c r="AC13" s="11" t="s">
        <v>55</v>
      </c>
    </row>
    <row r="14" spans="1:29" ht="13.8">
      <c r="A14" s="28" t="s">
        <v>56</v>
      </c>
      <c r="B14" s="29" t="s">
        <v>49</v>
      </c>
      <c r="C14" s="30"/>
      <c r="D14" s="33">
        <v>0.3</v>
      </c>
      <c r="E14" s="33">
        <f t="shared" si="5"/>
        <v>0.3</v>
      </c>
      <c r="F14" s="33">
        <f t="shared" si="6"/>
        <v>0.3</v>
      </c>
      <c r="G14" s="33">
        <f t="shared" si="7"/>
        <v>0.3</v>
      </c>
      <c r="H14" s="33">
        <f t="shared" si="8"/>
        <v>0.3</v>
      </c>
      <c r="I14" s="33">
        <f t="shared" si="8"/>
        <v>0.3</v>
      </c>
      <c r="J14" s="33">
        <f t="shared" si="8"/>
        <v>0.3</v>
      </c>
      <c r="K14" s="33">
        <f t="shared" si="8"/>
        <v>0.3</v>
      </c>
      <c r="L14" s="33">
        <f t="shared" si="8"/>
        <v>0.3</v>
      </c>
      <c r="M14" s="33">
        <f t="shared" si="8"/>
        <v>0.3</v>
      </c>
      <c r="N14" s="33">
        <f t="shared" si="8"/>
        <v>0.3</v>
      </c>
      <c r="O14" s="33">
        <f t="shared" si="8"/>
        <v>0.3</v>
      </c>
      <c r="P14" s="33">
        <f t="shared" si="9"/>
        <v>0.3</v>
      </c>
      <c r="Q14" s="33">
        <f t="shared" si="10"/>
        <v>0.3</v>
      </c>
      <c r="R14" s="33">
        <f t="shared" si="11"/>
        <v>0.3</v>
      </c>
      <c r="S14" s="33">
        <f t="shared" si="12"/>
        <v>0.3</v>
      </c>
      <c r="T14" s="33">
        <f t="shared" si="13"/>
        <v>0.3</v>
      </c>
      <c r="U14" s="33">
        <f t="shared" si="14"/>
        <v>0.3</v>
      </c>
      <c r="V14" s="33">
        <f t="shared" si="15"/>
        <v>0.3</v>
      </c>
      <c r="W14" s="33">
        <f t="shared" si="16"/>
        <v>0.3</v>
      </c>
      <c r="X14" s="33">
        <f t="shared" si="17"/>
        <v>0.3</v>
      </c>
      <c r="Y14" s="33">
        <f t="shared" si="18"/>
        <v>0.3</v>
      </c>
      <c r="Z14" s="33">
        <f t="shared" si="19"/>
        <v>0.3</v>
      </c>
      <c r="AA14" s="33">
        <f t="shared" si="20"/>
        <v>0.3</v>
      </c>
      <c r="AC14" s="11" t="s">
        <v>55</v>
      </c>
    </row>
    <row r="15" spans="1:29" ht="13.8">
      <c r="A15" s="28" t="s">
        <v>57</v>
      </c>
      <c r="B15" s="29" t="s">
        <v>49</v>
      </c>
      <c r="C15" s="30"/>
      <c r="D15" s="31">
        <v>2.1999999999999999E-2</v>
      </c>
      <c r="E15" s="31">
        <f t="shared" si="5"/>
        <v>2.1999999999999999E-2</v>
      </c>
      <c r="F15" s="31">
        <f t="shared" si="6"/>
        <v>2.1999999999999999E-2</v>
      </c>
      <c r="G15" s="31">
        <f t="shared" si="7"/>
        <v>2.1999999999999999E-2</v>
      </c>
      <c r="H15" s="31">
        <f t="shared" si="8"/>
        <v>2.1999999999999999E-2</v>
      </c>
      <c r="I15" s="31">
        <f t="shared" si="8"/>
        <v>2.1999999999999999E-2</v>
      </c>
      <c r="J15" s="31">
        <f t="shared" si="8"/>
        <v>2.1999999999999999E-2</v>
      </c>
      <c r="K15" s="31">
        <f t="shared" si="8"/>
        <v>2.1999999999999999E-2</v>
      </c>
      <c r="L15" s="31">
        <f t="shared" si="8"/>
        <v>2.1999999999999999E-2</v>
      </c>
      <c r="M15" s="31">
        <f t="shared" si="8"/>
        <v>2.1999999999999999E-2</v>
      </c>
      <c r="N15" s="31">
        <f t="shared" si="8"/>
        <v>2.1999999999999999E-2</v>
      </c>
      <c r="O15" s="31">
        <f t="shared" si="8"/>
        <v>2.1999999999999999E-2</v>
      </c>
      <c r="P15" s="31">
        <f t="shared" si="9"/>
        <v>2.1999999999999999E-2</v>
      </c>
      <c r="Q15" s="31">
        <f t="shared" si="10"/>
        <v>2.1999999999999999E-2</v>
      </c>
      <c r="R15" s="31">
        <f t="shared" si="11"/>
        <v>2.1999999999999999E-2</v>
      </c>
      <c r="S15" s="31">
        <f t="shared" si="12"/>
        <v>2.1999999999999999E-2</v>
      </c>
      <c r="T15" s="31">
        <f t="shared" si="13"/>
        <v>2.1999999999999999E-2</v>
      </c>
      <c r="U15" s="31">
        <f t="shared" si="14"/>
        <v>2.1999999999999999E-2</v>
      </c>
      <c r="V15" s="31">
        <f t="shared" si="15"/>
        <v>2.1999999999999999E-2</v>
      </c>
      <c r="W15" s="31">
        <f t="shared" si="16"/>
        <v>2.1999999999999999E-2</v>
      </c>
      <c r="X15" s="31">
        <f t="shared" si="17"/>
        <v>2.1999999999999999E-2</v>
      </c>
      <c r="Y15" s="31">
        <f t="shared" si="18"/>
        <v>2.1999999999999999E-2</v>
      </c>
      <c r="Z15" s="31">
        <f t="shared" si="19"/>
        <v>2.1999999999999999E-2</v>
      </c>
      <c r="AA15" s="31">
        <f t="shared" si="20"/>
        <v>2.1999999999999999E-2</v>
      </c>
      <c r="AC15" s="11" t="s">
        <v>55</v>
      </c>
    </row>
    <row r="16" spans="1:29" ht="13.8">
      <c r="A16" s="28" t="s">
        <v>58</v>
      </c>
      <c r="B16" s="29" t="s">
        <v>49</v>
      </c>
      <c r="C16" s="30"/>
      <c r="D16" s="33">
        <v>0.25</v>
      </c>
      <c r="E16" s="33">
        <f t="shared" si="5"/>
        <v>0.25</v>
      </c>
      <c r="F16" s="33">
        <f t="shared" si="6"/>
        <v>0.25</v>
      </c>
      <c r="G16" s="33">
        <f t="shared" si="7"/>
        <v>0.25</v>
      </c>
      <c r="H16" s="33">
        <f t="shared" si="8"/>
        <v>0.25</v>
      </c>
      <c r="I16" s="33">
        <f t="shared" si="8"/>
        <v>0.25</v>
      </c>
      <c r="J16" s="33">
        <f t="shared" si="8"/>
        <v>0.25</v>
      </c>
      <c r="K16" s="33">
        <f t="shared" si="8"/>
        <v>0.25</v>
      </c>
      <c r="L16" s="33">
        <f t="shared" si="8"/>
        <v>0.25</v>
      </c>
      <c r="M16" s="33">
        <f t="shared" si="8"/>
        <v>0.25</v>
      </c>
      <c r="N16" s="33">
        <f t="shared" si="8"/>
        <v>0.25</v>
      </c>
      <c r="O16" s="33">
        <f t="shared" si="8"/>
        <v>0.25</v>
      </c>
      <c r="P16" s="33">
        <f t="shared" si="9"/>
        <v>0.25</v>
      </c>
      <c r="Q16" s="33">
        <f t="shared" si="10"/>
        <v>0.25</v>
      </c>
      <c r="R16" s="33">
        <f t="shared" si="11"/>
        <v>0.25</v>
      </c>
      <c r="S16" s="33">
        <f t="shared" si="12"/>
        <v>0.25</v>
      </c>
      <c r="T16" s="33">
        <f t="shared" si="13"/>
        <v>0.25</v>
      </c>
      <c r="U16" s="33">
        <f t="shared" si="14"/>
        <v>0.25</v>
      </c>
      <c r="V16" s="33">
        <f t="shared" si="15"/>
        <v>0.25</v>
      </c>
      <c r="W16" s="33">
        <f t="shared" si="16"/>
        <v>0.25</v>
      </c>
      <c r="X16" s="33">
        <f t="shared" si="17"/>
        <v>0.25</v>
      </c>
      <c r="Y16" s="33">
        <f t="shared" si="18"/>
        <v>0.25</v>
      </c>
      <c r="Z16" s="33">
        <f t="shared" si="19"/>
        <v>0.25</v>
      </c>
      <c r="AA16" s="33">
        <f t="shared" si="20"/>
        <v>0.25</v>
      </c>
    </row>
    <row r="17" spans="1:29" ht="26.4">
      <c r="A17" s="28" t="s">
        <v>59</v>
      </c>
      <c r="B17" s="29" t="s">
        <v>49</v>
      </c>
      <c r="C17" s="30"/>
      <c r="D17" s="31">
        <v>2E-3</v>
      </c>
      <c r="E17" s="31">
        <f t="shared" si="5"/>
        <v>2E-3</v>
      </c>
      <c r="F17" s="31">
        <f t="shared" si="6"/>
        <v>2E-3</v>
      </c>
      <c r="G17" s="31">
        <f t="shared" si="7"/>
        <v>2E-3</v>
      </c>
      <c r="H17" s="31">
        <f t="shared" si="8"/>
        <v>2E-3</v>
      </c>
      <c r="I17" s="31">
        <f t="shared" si="8"/>
        <v>2E-3</v>
      </c>
      <c r="J17" s="31">
        <f t="shared" si="8"/>
        <v>2E-3</v>
      </c>
      <c r="K17" s="31">
        <f t="shared" si="8"/>
        <v>2E-3</v>
      </c>
      <c r="L17" s="31">
        <f t="shared" si="8"/>
        <v>2E-3</v>
      </c>
      <c r="M17" s="31">
        <f t="shared" si="8"/>
        <v>2E-3</v>
      </c>
      <c r="N17" s="31">
        <f t="shared" si="8"/>
        <v>2E-3</v>
      </c>
      <c r="O17" s="31">
        <f t="shared" si="8"/>
        <v>2E-3</v>
      </c>
      <c r="P17" s="31">
        <f t="shared" si="9"/>
        <v>2E-3</v>
      </c>
      <c r="Q17" s="31">
        <f t="shared" si="10"/>
        <v>2E-3</v>
      </c>
      <c r="R17" s="31">
        <f t="shared" si="11"/>
        <v>2E-3</v>
      </c>
      <c r="S17" s="31">
        <f t="shared" si="12"/>
        <v>2E-3</v>
      </c>
      <c r="T17" s="31">
        <f t="shared" si="13"/>
        <v>2E-3</v>
      </c>
      <c r="U17" s="31">
        <f t="shared" si="14"/>
        <v>2E-3</v>
      </c>
      <c r="V17" s="31">
        <f t="shared" si="15"/>
        <v>2E-3</v>
      </c>
      <c r="W17" s="31">
        <f t="shared" si="16"/>
        <v>2E-3</v>
      </c>
      <c r="X17" s="31">
        <f t="shared" si="17"/>
        <v>2E-3</v>
      </c>
      <c r="Y17" s="31">
        <f t="shared" si="18"/>
        <v>2E-3</v>
      </c>
      <c r="Z17" s="31">
        <f t="shared" si="19"/>
        <v>2E-3</v>
      </c>
      <c r="AA17" s="31">
        <f t="shared" si="20"/>
        <v>2E-3</v>
      </c>
    </row>
    <row r="18" spans="1:29">
      <c r="B18" s="29"/>
    </row>
    <row r="19" spans="1:29">
      <c r="B19" s="29"/>
      <c r="D19" s="34">
        <v>1</v>
      </c>
      <c r="E19" s="35">
        <v>2023</v>
      </c>
      <c r="F19" s="35">
        <f>E19+1</f>
        <v>2024</v>
      </c>
      <c r="G19" s="35">
        <f t="shared" ref="G19:L19" si="21">F19+1</f>
        <v>2025</v>
      </c>
      <c r="H19" s="35">
        <f t="shared" si="21"/>
        <v>2026</v>
      </c>
      <c r="I19" s="35">
        <f t="shared" si="21"/>
        <v>2027</v>
      </c>
      <c r="J19" s="35">
        <f t="shared" si="21"/>
        <v>2028</v>
      </c>
      <c r="K19" s="35">
        <f t="shared" si="21"/>
        <v>2029</v>
      </c>
      <c r="L19" s="35">
        <f t="shared" si="21"/>
        <v>2030</v>
      </c>
    </row>
    <row r="20" spans="1:29">
      <c r="A20" s="36" t="s">
        <v>60</v>
      </c>
      <c r="B20" s="29" t="s">
        <v>49</v>
      </c>
      <c r="C20" s="36"/>
      <c r="D20" s="34">
        <v>2</v>
      </c>
      <c r="E20" s="37">
        <v>7.4200000000000002E-2</v>
      </c>
      <c r="F20" s="189">
        <v>0.159</v>
      </c>
      <c r="G20" s="37">
        <v>0.124</v>
      </c>
      <c r="H20" s="37">
        <v>0.13200000000000001</v>
      </c>
      <c r="I20" s="37">
        <v>0.15</v>
      </c>
      <c r="J20" s="37">
        <v>7.2999999999999995E-2</v>
      </c>
      <c r="K20" s="37">
        <v>6.6000000000000003E-2</v>
      </c>
      <c r="L20" s="37">
        <v>0.06</v>
      </c>
      <c r="AC20" s="13" t="s">
        <v>50</v>
      </c>
    </row>
    <row r="21" spans="1:29">
      <c r="A21" s="188" t="s">
        <v>61</v>
      </c>
      <c r="B21" s="29" t="s">
        <v>49</v>
      </c>
      <c r="C21" s="36"/>
      <c r="D21" s="34">
        <v>3</v>
      </c>
      <c r="E21" s="37">
        <v>7.4999999999999997E-2</v>
      </c>
      <c r="F21" s="37">
        <v>8.2000000000000003E-2</v>
      </c>
      <c r="G21" s="37">
        <v>0.113</v>
      </c>
      <c r="H21" s="37">
        <v>0.1</v>
      </c>
      <c r="I21" s="37">
        <v>0.09</v>
      </c>
      <c r="J21" s="37">
        <v>8.2000000000000003E-2</v>
      </c>
      <c r="K21" s="37">
        <v>6.2E-2</v>
      </c>
      <c r="L21" s="37">
        <v>0.05</v>
      </c>
      <c r="AC21" s="13" t="s">
        <v>50</v>
      </c>
    </row>
    <row r="22" spans="1:29">
      <c r="A22" s="188" t="s">
        <v>62</v>
      </c>
      <c r="B22" s="29" t="str">
        <f>B21</f>
        <v>%</v>
      </c>
      <c r="C22" s="36"/>
      <c r="D22" s="34">
        <v>4</v>
      </c>
      <c r="E22" s="37">
        <f t="shared" ref="E22:L22" si="22">(1+E20)*(1+E21)-1</f>
        <v>0.15476500000000004</v>
      </c>
      <c r="F22" s="37">
        <f t="shared" si="22"/>
        <v>0.25403800000000021</v>
      </c>
      <c r="G22" s="37">
        <f t="shared" si="22"/>
        <v>0.25101200000000001</v>
      </c>
      <c r="H22" s="37">
        <f t="shared" si="22"/>
        <v>0.24520000000000031</v>
      </c>
      <c r="I22" s="37">
        <f t="shared" si="22"/>
        <v>0.25350000000000006</v>
      </c>
      <c r="J22" s="37">
        <f t="shared" si="22"/>
        <v>0.16098600000000007</v>
      </c>
      <c r="K22" s="37">
        <f t="shared" si="22"/>
        <v>0.1320920000000001</v>
      </c>
      <c r="L22" s="37">
        <f t="shared" si="22"/>
        <v>0.11300000000000021</v>
      </c>
      <c r="AC22" s="13" t="s">
        <v>50</v>
      </c>
    </row>
    <row r="24" spans="1:29" ht="13.8">
      <c r="A24" s="190" t="s">
        <v>63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9" ht="14.4">
      <c r="A25" s="191" t="s">
        <v>64</v>
      </c>
      <c r="B25" s="39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9" ht="14.4">
      <c r="A26" s="193" t="s">
        <v>435</v>
      </c>
      <c r="B26" s="39" t="s">
        <v>66</v>
      </c>
      <c r="C26" s="43">
        <v>1050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9" ht="14.4">
      <c r="A27" s="42"/>
      <c r="B27" s="172"/>
      <c r="C27" s="194"/>
      <c r="D27" s="41"/>
      <c r="E27" s="41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9" ht="14.4">
      <c r="A28" s="42"/>
      <c r="B28" s="172"/>
      <c r="C28" s="194"/>
      <c r="D28" s="41"/>
      <c r="E28" s="41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9" ht="14.4">
      <c r="A29" s="42"/>
      <c r="B29" s="172"/>
      <c r="C29" s="194"/>
      <c r="D29" s="41"/>
      <c r="E29" s="41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9" ht="14.4">
      <c r="A30" s="42"/>
      <c r="B30" s="39"/>
      <c r="D30" s="41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9" ht="13.8">
      <c r="A31" s="42" t="s">
        <v>67</v>
      </c>
      <c r="B31" s="39" t="s">
        <v>49</v>
      </c>
      <c r="C31" s="45">
        <v>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9" ht="13.8">
      <c r="A32" s="38" t="s">
        <v>68</v>
      </c>
      <c r="B32" s="39"/>
      <c r="C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9" ht="13.8">
      <c r="A33" s="193" t="s">
        <v>435</v>
      </c>
      <c r="B33" s="39" t="s">
        <v>69</v>
      </c>
      <c r="C33" s="46">
        <v>4200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C33" s="11" t="s">
        <v>70</v>
      </c>
    </row>
    <row r="34" spans="1:29" ht="13.8">
      <c r="A34" s="42"/>
      <c r="B34" s="39"/>
      <c r="C34" s="19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C34" s="11" t="s">
        <v>70</v>
      </c>
    </row>
    <row r="35" spans="1:29" ht="13.8">
      <c r="A35" s="42"/>
      <c r="B35" s="39"/>
      <c r="C35" s="192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C35" s="11" t="s">
        <v>70</v>
      </c>
    </row>
    <row r="36" spans="1:29" ht="13.8">
      <c r="A36" s="42"/>
      <c r="B36" s="39"/>
      <c r="C36" s="192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C36" s="11" t="s">
        <v>70</v>
      </c>
    </row>
    <row r="37" spans="1:29" ht="13.8">
      <c r="A37" s="42"/>
      <c r="B37" s="39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9" ht="13.8">
      <c r="A38" s="42" t="s">
        <v>71</v>
      </c>
      <c r="B38" s="39" t="s">
        <v>49</v>
      </c>
      <c r="C38" s="45">
        <v>0.5</v>
      </c>
      <c r="D38" s="47"/>
      <c r="E38" s="47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9" ht="13.8">
      <c r="A39" s="25" t="s">
        <v>72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9" ht="13.8">
      <c r="A40" s="38" t="s">
        <v>73</v>
      </c>
      <c r="B40" s="39"/>
      <c r="C40" s="40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9" ht="13.8">
      <c r="A41" s="42" t="s">
        <v>65</v>
      </c>
      <c r="B41" s="39" t="s">
        <v>69</v>
      </c>
      <c r="C41" s="40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9" ht="13.8">
      <c r="A42" s="195" t="s">
        <v>436</v>
      </c>
      <c r="B42" s="49" t="s">
        <v>69</v>
      </c>
      <c r="C42" s="50">
        <v>1200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C42" s="11" t="s">
        <v>70</v>
      </c>
    </row>
    <row r="43" spans="1:29" ht="13.8">
      <c r="A43" s="48" t="s">
        <v>439</v>
      </c>
      <c r="B43" s="49" t="s">
        <v>69</v>
      </c>
      <c r="C43" s="50">
        <v>690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C43" s="11" t="s">
        <v>70</v>
      </c>
    </row>
    <row r="44" spans="1:29" ht="13.8">
      <c r="A44" s="42"/>
      <c r="B44" s="39"/>
      <c r="C44" s="40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9" ht="13.8">
      <c r="A45" s="48"/>
      <c r="B45" s="49"/>
      <c r="C45" s="50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C45" s="11" t="s">
        <v>70</v>
      </c>
    </row>
    <row r="46" spans="1:29" ht="13.8">
      <c r="A46" s="48"/>
      <c r="B46" s="49"/>
      <c r="C46" s="50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C46" s="11" t="s">
        <v>70</v>
      </c>
    </row>
    <row r="47" spans="1:29" ht="13.8">
      <c r="A47" s="42"/>
      <c r="B47" s="39"/>
      <c r="C47" s="40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9" ht="13.8">
      <c r="A48" s="48"/>
      <c r="B48" s="49"/>
      <c r="C48" s="50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C48" s="11" t="s">
        <v>70</v>
      </c>
    </row>
    <row r="49" spans="1:29" ht="13.8">
      <c r="A49" s="48"/>
      <c r="B49" s="49"/>
      <c r="C49" s="50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C49" s="11" t="s">
        <v>70</v>
      </c>
    </row>
    <row r="50" spans="1:29" ht="13.8">
      <c r="A50" s="42"/>
      <c r="B50" s="39"/>
      <c r="C50" s="4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9" ht="13.8">
      <c r="A51" s="48"/>
      <c r="B51" s="49"/>
      <c r="C51" s="50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C51" s="11" t="s">
        <v>70</v>
      </c>
    </row>
    <row r="52" spans="1:29" ht="13.8">
      <c r="A52" s="48"/>
      <c r="B52" s="49"/>
      <c r="C52" s="50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C52" s="11" t="s">
        <v>70</v>
      </c>
    </row>
    <row r="53" spans="1:29" ht="14.4">
      <c r="A53" s="36"/>
      <c r="B53" s="29"/>
      <c r="C53" s="29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9" ht="13.8">
      <c r="A54" s="38" t="s">
        <v>76</v>
      </c>
      <c r="B54" s="39" t="s">
        <v>77</v>
      </c>
      <c r="C54" s="40">
        <v>19.399999999999999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9" ht="13.8">
      <c r="A55" s="193" t="s">
        <v>437</v>
      </c>
      <c r="B55" s="39" t="s">
        <v>69</v>
      </c>
      <c r="C55" s="46">
        <v>19400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9" ht="13.8">
      <c r="A56" s="193" t="s">
        <v>438</v>
      </c>
      <c r="B56" s="39" t="s">
        <v>69</v>
      </c>
      <c r="C56" s="46">
        <v>5000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9" ht="13.8">
      <c r="A57" s="42"/>
      <c r="B57" s="39"/>
      <c r="C57" s="46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9" ht="13.8">
      <c r="A58" s="42"/>
      <c r="B58" s="39"/>
      <c r="C58" s="46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9" ht="13.8">
      <c r="A59" s="42"/>
      <c r="B59" s="39"/>
      <c r="C59" s="39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9" ht="13.8">
      <c r="A60" s="38" t="s">
        <v>78</v>
      </c>
      <c r="B60" s="39"/>
      <c r="C60" s="40" t="s">
        <v>79</v>
      </c>
      <c r="D60" s="40" t="s">
        <v>80</v>
      </c>
      <c r="E60" s="40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9" ht="13.8">
      <c r="A61" s="42" t="s">
        <v>386</v>
      </c>
      <c r="B61" s="39" t="s">
        <v>82</v>
      </c>
      <c r="C61" s="43">
        <v>1</v>
      </c>
      <c r="D61" s="43">
        <v>292500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9" ht="13.8">
      <c r="A62" s="42"/>
      <c r="B62" s="39"/>
      <c r="C62" s="43"/>
      <c r="D62" s="43"/>
      <c r="E62" s="40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9" ht="13.8">
      <c r="A63" s="42"/>
      <c r="B63" s="39"/>
      <c r="C63" s="43"/>
      <c r="D63" s="43"/>
      <c r="E63" s="40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1:29" ht="13.8">
      <c r="A64" s="42"/>
      <c r="B64" s="39"/>
      <c r="C64" s="43"/>
      <c r="D64" s="43"/>
      <c r="E64" s="40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 ht="13.8">
      <c r="A65" s="42"/>
      <c r="B65" s="39"/>
      <c r="C65" s="46"/>
      <c r="D65" s="46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ht="13.8">
      <c r="A66" s="42"/>
      <c r="B66" s="39"/>
      <c r="C66" s="46"/>
      <c r="D66" s="46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1:27" ht="13.8">
      <c r="A67" s="42"/>
      <c r="B67" s="39"/>
      <c r="C67" s="46"/>
      <c r="D67" s="46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 ht="13.8">
      <c r="A68" s="42"/>
      <c r="B68" s="39"/>
      <c r="C68" s="46"/>
      <c r="D68" s="46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27" ht="13.8">
      <c r="A69" s="42"/>
      <c r="B69" s="39"/>
      <c r="C69" s="46"/>
      <c r="D69" s="43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ht="13.8">
      <c r="A70" s="42"/>
      <c r="B70" s="39"/>
      <c r="C70" s="46"/>
      <c r="D70" s="46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1:27" ht="13.8">
      <c r="A71" s="42"/>
      <c r="B71" s="39"/>
      <c r="C71" s="46"/>
      <c r="D71" s="43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1:27" ht="13.8">
      <c r="A72" s="42" t="s">
        <v>93</v>
      </c>
      <c r="B72" s="39" t="s">
        <v>49</v>
      </c>
      <c r="C72" s="45">
        <v>0.02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 ht="13.8">
      <c r="A73" s="42"/>
      <c r="B73" s="39"/>
      <c r="C73" s="51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 ht="13.8">
      <c r="A74" s="42" t="s">
        <v>94</v>
      </c>
      <c r="B74" s="39" t="s">
        <v>49</v>
      </c>
      <c r="C74" s="45">
        <v>0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1:27" ht="13.8">
      <c r="A75" s="42" t="s">
        <v>95</v>
      </c>
      <c r="B75" s="39" t="s">
        <v>96</v>
      </c>
      <c r="C75" s="43">
        <v>0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1:27" ht="13.8">
      <c r="A76" s="42" t="s">
        <v>97</v>
      </c>
      <c r="B76" s="39" t="s">
        <v>96</v>
      </c>
      <c r="C76" s="43">
        <v>10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1:27" ht="13.8">
      <c r="A77" s="42" t="s">
        <v>98</v>
      </c>
      <c r="B77" s="39" t="s">
        <v>96</v>
      </c>
      <c r="C77" s="43">
        <v>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1:27" ht="13.8">
      <c r="A78" s="42" t="s">
        <v>99</v>
      </c>
      <c r="B78" s="39" t="s">
        <v>49</v>
      </c>
      <c r="C78" s="45">
        <v>0.02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 ht="13.8">
      <c r="A79" s="42" t="s">
        <v>100</v>
      </c>
      <c r="B79" s="29" t="s">
        <v>101</v>
      </c>
      <c r="C79" s="43">
        <v>0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13.8">
      <c r="A80" s="42" t="s">
        <v>102</v>
      </c>
      <c r="B80" s="29" t="s">
        <v>103</v>
      </c>
      <c r="C80" s="43">
        <f>19.65/(1+Предположения!D$14)</f>
        <v>15.115384615384613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:29" ht="13.8">
      <c r="A81" s="42" t="s">
        <v>104</v>
      </c>
      <c r="B81" s="39" t="s">
        <v>49</v>
      </c>
      <c r="C81" s="45">
        <v>0.01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9" ht="13.8">
      <c r="A82" s="52"/>
      <c r="B82" s="29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1:29" ht="13.8">
      <c r="A83" s="25" t="s">
        <v>105</v>
      </c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9" ht="13.8">
      <c r="A84" s="36" t="s">
        <v>106</v>
      </c>
      <c r="B84" s="29" t="s">
        <v>107</v>
      </c>
      <c r="C84" s="53">
        <v>14</v>
      </c>
      <c r="D84" s="54">
        <v>0.13104910646327403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C84" s="11" t="s">
        <v>108</v>
      </c>
    </row>
    <row r="85" spans="1:29" ht="13.8">
      <c r="A85" s="188" t="s">
        <v>109</v>
      </c>
      <c r="B85" s="29" t="s">
        <v>107</v>
      </c>
      <c r="C85" s="53">
        <v>2</v>
      </c>
      <c r="D85" s="54">
        <v>0.14870952501687293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C85" s="11" t="s">
        <v>108</v>
      </c>
    </row>
    <row r="86" spans="1:29" ht="13.8">
      <c r="A86" s="36" t="s">
        <v>110</v>
      </c>
      <c r="B86" s="29" t="s">
        <v>107</v>
      </c>
      <c r="C86" s="53">
        <v>60</v>
      </c>
      <c r="D86" s="54">
        <v>0.16885065880579009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C86" s="11" t="s">
        <v>108</v>
      </c>
    </row>
    <row r="87" spans="1:29" ht="13.8">
      <c r="A87" s="55"/>
      <c r="B87" s="56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1:29" ht="13.8">
      <c r="A88" s="25" t="s">
        <v>12</v>
      </c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9" ht="13.8">
      <c r="A89" s="36" t="s">
        <v>111</v>
      </c>
      <c r="B89" s="29" t="s">
        <v>49</v>
      </c>
      <c r="C89" s="57">
        <v>0.75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29" ht="13.8">
      <c r="A90" s="36" t="s">
        <v>112</v>
      </c>
      <c r="B90" s="29" t="s">
        <v>49</v>
      </c>
      <c r="C90" s="57">
        <v>0.25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29" ht="13.8">
      <c r="A91" s="36" t="s">
        <v>113</v>
      </c>
      <c r="B91" s="29" t="s">
        <v>96</v>
      </c>
      <c r="C91" s="53">
        <v>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29" ht="13.8">
      <c r="A92" s="188" t="s">
        <v>114</v>
      </c>
      <c r="B92" s="29" t="s">
        <v>49</v>
      </c>
      <c r="C92" s="58">
        <v>0.25</v>
      </c>
      <c r="D92" s="59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29" ht="13.8">
      <c r="A93" s="55"/>
      <c r="B93" s="56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29" ht="13.8">
      <c r="A94" s="55"/>
      <c r="B94" s="56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29" ht="13.8">
      <c r="A95" s="55"/>
      <c r="B95" s="56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29" ht="13.8">
      <c r="A96" s="55"/>
      <c r="B96" s="56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2:15" ht="13.8">
      <c r="B97" s="11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2:15">
      <c r="B98" s="11"/>
    </row>
  </sheetData>
  <dataValidations count="1">
    <dataValidation type="list" allowBlank="1" showInputMessage="1" showErrorMessage="1" sqref="A61 A69:A71" xr:uid="{001600EE-001E-41DD-A61E-0081007400C9}">
      <formula1>worker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outlinePr summaryBelow="0"/>
  </sheetPr>
  <dimension ref="A2:AH41"/>
  <sheetViews>
    <sheetView zoomScale="85" workbookViewId="0">
      <pane xSplit="2" ySplit="6" topLeftCell="C10" activePane="bottomRight" state="frozen"/>
      <selection activeCell="A33" sqref="A33"/>
      <selection pane="topRight"/>
      <selection pane="bottomLeft"/>
      <selection pane="bottomRight" activeCell="F22" sqref="F22"/>
    </sheetView>
  </sheetViews>
  <sheetFormatPr defaultColWidth="9.109375" defaultRowHeight="13.2"/>
  <cols>
    <col min="1" max="1" width="42.88671875" style="11" customWidth="1"/>
    <col min="2" max="2" width="11.44140625" style="32" customWidth="1"/>
    <col min="3" max="3" width="12.44140625" style="11" customWidth="1"/>
    <col min="4" max="19" width="11.44140625" style="11" customWidth="1"/>
    <col min="20" max="20" width="9.88671875" style="13" bestFit="1" customWidth="1"/>
    <col min="21" max="21" width="9.5546875" style="11" bestFit="1" customWidth="1"/>
    <col min="22" max="16384" width="9.109375" style="11"/>
  </cols>
  <sheetData>
    <row r="2" spans="1:34">
      <c r="A2" s="60" t="str">
        <f>'Титульный лист'!$B$2</f>
        <v>Бизнес-план проекта Indoor Air Technologies</v>
      </c>
      <c r="B2" s="61"/>
      <c r="C2" s="16"/>
    </row>
    <row r="3" spans="1:34">
      <c r="F3" s="62"/>
      <c r="G3" s="63"/>
    </row>
    <row r="4" spans="1:34">
      <c r="A4" s="17" t="s">
        <v>115</v>
      </c>
      <c r="B4" s="61"/>
      <c r="C4" s="16"/>
      <c r="D4" s="64">
        <v>2024</v>
      </c>
      <c r="E4" s="64">
        <f>D4</f>
        <v>2024</v>
      </c>
      <c r="F4" s="64">
        <f t="shared" ref="F4:G4" si="0">E4</f>
        <v>2024</v>
      </c>
      <c r="G4" s="64">
        <f t="shared" si="0"/>
        <v>2024</v>
      </c>
      <c r="H4" s="64">
        <f>D4+1</f>
        <v>2025</v>
      </c>
      <c r="I4" s="64">
        <f t="shared" ref="I4:AA4" si="1">E4+1</f>
        <v>2025</v>
      </c>
      <c r="J4" s="64">
        <f t="shared" si="1"/>
        <v>2025</v>
      </c>
      <c r="K4" s="64">
        <f t="shared" si="1"/>
        <v>2025</v>
      </c>
      <c r="L4" s="64">
        <f t="shared" si="1"/>
        <v>2026</v>
      </c>
      <c r="M4" s="64">
        <f t="shared" si="1"/>
        <v>2026</v>
      </c>
      <c r="N4" s="64">
        <f t="shared" si="1"/>
        <v>2026</v>
      </c>
      <c r="O4" s="64">
        <f t="shared" si="1"/>
        <v>2026</v>
      </c>
      <c r="P4" s="64">
        <f t="shared" si="1"/>
        <v>2027</v>
      </c>
      <c r="Q4" s="64">
        <f t="shared" si="1"/>
        <v>2027</v>
      </c>
      <c r="R4" s="64">
        <f t="shared" si="1"/>
        <v>2027</v>
      </c>
      <c r="S4" s="64">
        <f t="shared" si="1"/>
        <v>2027</v>
      </c>
      <c r="T4" s="64">
        <f t="shared" si="1"/>
        <v>2028</v>
      </c>
      <c r="U4" s="64">
        <f t="shared" si="1"/>
        <v>2028</v>
      </c>
      <c r="V4" s="64">
        <f t="shared" si="1"/>
        <v>2028</v>
      </c>
      <c r="W4" s="64">
        <f t="shared" si="1"/>
        <v>2028</v>
      </c>
      <c r="X4" s="64">
        <f t="shared" si="1"/>
        <v>2029</v>
      </c>
      <c r="Y4" s="64">
        <f t="shared" si="1"/>
        <v>2029</v>
      </c>
      <c r="Z4" s="64">
        <f t="shared" si="1"/>
        <v>2029</v>
      </c>
      <c r="AA4" s="64">
        <f t="shared" si="1"/>
        <v>2029</v>
      </c>
    </row>
    <row r="5" spans="1:34">
      <c r="A5" s="65" t="s">
        <v>19</v>
      </c>
      <c r="B5" s="66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2024</v>
      </c>
      <c r="AD5" s="67">
        <f>AC5+1</f>
        <v>2025</v>
      </c>
      <c r="AE5" s="67">
        <f t="shared" ref="AE5:AH5" si="2">AD5+1</f>
        <v>2026</v>
      </c>
      <c r="AF5" s="67">
        <f t="shared" si="2"/>
        <v>2027</v>
      </c>
      <c r="AG5" s="67">
        <f t="shared" si="2"/>
        <v>2028</v>
      </c>
      <c r="AH5" s="67">
        <f t="shared" si="2"/>
        <v>2029</v>
      </c>
    </row>
    <row r="6" spans="1:34">
      <c r="A6" s="68" t="s">
        <v>46</v>
      </c>
      <c r="B6" s="68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/>
      <c r="AD6" s="69"/>
      <c r="AE6" s="69"/>
      <c r="AF6" s="69"/>
      <c r="AG6" s="69"/>
      <c r="AH6" s="69"/>
    </row>
    <row r="7" spans="1:34">
      <c r="T7" s="11"/>
    </row>
    <row r="8" spans="1:34">
      <c r="A8" s="42" t="s">
        <v>48</v>
      </c>
      <c r="B8" s="39" t="s">
        <v>49</v>
      </c>
      <c r="C8" s="47"/>
      <c r="D8" s="70">
        <f>Предположения!D$9</f>
        <v>3.7578249091094751E-2</v>
      </c>
      <c r="E8" s="70">
        <f>Предположения!E$9</f>
        <v>3.7578249091094751E-2</v>
      </c>
      <c r="F8" s="70">
        <f>Предположения!F$9</f>
        <v>3.7578249091094751E-2</v>
      </c>
      <c r="G8" s="70">
        <f>Предположения!G$9</f>
        <v>3.7578249091094751E-2</v>
      </c>
      <c r="H8" s="70">
        <f>Предположения!H$9</f>
        <v>2.9654632610316423E-2</v>
      </c>
      <c r="I8" s="70">
        <f>Предположения!I$9</f>
        <v>2.9654632610316423E-2</v>
      </c>
      <c r="J8" s="70">
        <f>Предположения!J$9</f>
        <v>2.9654632610316423E-2</v>
      </c>
      <c r="K8" s="70">
        <f>Предположения!K$9</f>
        <v>2.9654632610316423E-2</v>
      </c>
      <c r="L8" s="70">
        <f>Предположения!L$9</f>
        <v>3.1481888479691689E-2</v>
      </c>
      <c r="M8" s="70">
        <f>Предположения!M$9</f>
        <v>3.1481888479691689E-2</v>
      </c>
      <c r="N8" s="70">
        <f>Предположения!N$9</f>
        <v>3.1481888479691689E-2</v>
      </c>
      <c r="O8" s="70">
        <f>Предположения!O$9</f>
        <v>3.1481888479691689E-2</v>
      </c>
      <c r="P8" s="70">
        <f>Предположения!P$9</f>
        <v>3.5558076341622114E-2</v>
      </c>
      <c r="Q8" s="70">
        <f>Предположения!Q$9</f>
        <v>3.5558076341622114E-2</v>
      </c>
      <c r="R8" s="70">
        <f>Предположения!R$9</f>
        <v>3.5558076341622114E-2</v>
      </c>
      <c r="S8" s="70">
        <f>Предположения!S$9</f>
        <v>3.5558076341622114E-2</v>
      </c>
      <c r="T8" s="70">
        <f>Предположения!T$9</f>
        <v>1.7770668179371674E-2</v>
      </c>
      <c r="U8" s="70">
        <f>Предположения!U$9</f>
        <v>1.7770668179371674E-2</v>
      </c>
      <c r="V8" s="70">
        <f>Предположения!V$9</f>
        <v>1.7770668179371674E-2</v>
      </c>
      <c r="W8" s="70">
        <f>Предположения!W$9</f>
        <v>1.7770668179371674E-2</v>
      </c>
      <c r="X8" s="70">
        <f>Предположения!X$9</f>
        <v>1.6106667595102708E-2</v>
      </c>
      <c r="Y8" s="70">
        <f>Предположения!Y$9</f>
        <v>1.6106667595102708E-2</v>
      </c>
      <c r="Z8" s="70">
        <f>Предположения!Z$9</f>
        <v>1.6106667595102708E-2</v>
      </c>
      <c r="AA8" s="70">
        <f>Предположения!AA$9</f>
        <v>1.6106667595102708E-2</v>
      </c>
      <c r="AC8" s="70"/>
      <c r="AD8" s="70"/>
      <c r="AE8" s="70"/>
      <c r="AF8" s="70"/>
      <c r="AG8" s="70"/>
      <c r="AH8" s="70"/>
    </row>
    <row r="9" spans="1:34">
      <c r="A9" s="42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C9" s="40"/>
      <c r="AD9" s="40"/>
      <c r="AE9" s="40"/>
      <c r="AF9" s="40"/>
      <c r="AG9" s="40"/>
      <c r="AH9" s="40"/>
    </row>
    <row r="10" spans="1:34">
      <c r="A10" s="71" t="s">
        <v>116</v>
      </c>
      <c r="B10" s="7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C10" s="21"/>
      <c r="AD10" s="21"/>
      <c r="AE10" s="21"/>
      <c r="AF10" s="21"/>
      <c r="AG10" s="21"/>
      <c r="AH10" s="21"/>
    </row>
    <row r="11" spans="1:34">
      <c r="A11" s="38" t="s">
        <v>117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C11" s="40"/>
      <c r="AD11" s="40"/>
      <c r="AE11" s="40"/>
      <c r="AF11" s="40"/>
      <c r="AG11" s="40"/>
      <c r="AH11" s="40"/>
    </row>
    <row r="12" spans="1:34">
      <c r="A12" s="42" t="s">
        <v>65</v>
      </c>
      <c r="B12" s="39" t="s">
        <v>49</v>
      </c>
      <c r="C12" s="40"/>
      <c r="D12" s="45">
        <v>0</v>
      </c>
      <c r="E12" s="45">
        <v>0</v>
      </c>
      <c r="F12" s="45">
        <v>0</v>
      </c>
      <c r="G12" s="45">
        <v>0</v>
      </c>
      <c r="H12" s="45">
        <v>0.2</v>
      </c>
      <c r="I12" s="47">
        <f t="shared" ref="I12:T15" si="3">H12+($U$12-$H$12)/COUNTA($I$5:$U$5)</f>
        <v>0.26153846153846155</v>
      </c>
      <c r="J12" s="47">
        <f t="shared" si="3"/>
        <v>0.32307692307692309</v>
      </c>
      <c r="K12" s="47">
        <f t="shared" si="3"/>
        <v>0.38461538461538464</v>
      </c>
      <c r="L12" s="47">
        <f t="shared" si="3"/>
        <v>0.44615384615384618</v>
      </c>
      <c r="M12" s="47">
        <f t="shared" si="3"/>
        <v>0.50769230769230766</v>
      </c>
      <c r="N12" s="47">
        <f t="shared" si="3"/>
        <v>0.56923076923076921</v>
      </c>
      <c r="O12" s="47">
        <f t="shared" si="3"/>
        <v>0.63076923076923075</v>
      </c>
      <c r="P12" s="47">
        <f t="shared" si="3"/>
        <v>0.69230769230769229</v>
      </c>
      <c r="Q12" s="47">
        <f t="shared" si="3"/>
        <v>0.75384615384615383</v>
      </c>
      <c r="R12" s="47">
        <f t="shared" si="3"/>
        <v>0.81538461538461537</v>
      </c>
      <c r="S12" s="47">
        <f t="shared" si="3"/>
        <v>0.87692307692307692</v>
      </c>
      <c r="T12" s="47">
        <f t="shared" si="3"/>
        <v>0.93846153846153846</v>
      </c>
      <c r="U12" s="45">
        <f>Предположения!$C$31</f>
        <v>1</v>
      </c>
      <c r="V12" s="47">
        <f t="shared" ref="V12:W15" si="4">U12</f>
        <v>1</v>
      </c>
      <c r="W12" s="47">
        <f t="shared" si="4"/>
        <v>1</v>
      </c>
      <c r="X12" s="47">
        <f t="shared" ref="X12:X15" si="5">W12</f>
        <v>1</v>
      </c>
      <c r="Y12" s="47">
        <f t="shared" ref="Y12:Y15" si="6">X12</f>
        <v>1</v>
      </c>
      <c r="Z12" s="47">
        <f t="shared" ref="Z12:Z15" si="7">Y12</f>
        <v>1</v>
      </c>
      <c r="AA12" s="47">
        <f t="shared" ref="AA12:AA15" si="8">Z12</f>
        <v>1</v>
      </c>
      <c r="AC12" s="47">
        <f t="shared" ref="AC12:AH15" si="9">AVERAGEIF($D$4:$AA$4,AC$5,$D12:$AA12)</f>
        <v>0</v>
      </c>
      <c r="AD12" s="47">
        <f t="shared" si="9"/>
        <v>0.29230769230769232</v>
      </c>
      <c r="AE12" s="47">
        <f t="shared" si="9"/>
        <v>0.53846153846153844</v>
      </c>
      <c r="AF12" s="47">
        <f t="shared" si="9"/>
        <v>0.7846153846153846</v>
      </c>
      <c r="AG12" s="47">
        <f t="shared" si="9"/>
        <v>0.98461538461538467</v>
      </c>
      <c r="AH12" s="47">
        <f t="shared" si="9"/>
        <v>1</v>
      </c>
    </row>
    <row r="13" spans="1:34">
      <c r="A13" s="42" t="s">
        <v>65</v>
      </c>
      <c r="B13" s="39" t="s">
        <v>49</v>
      </c>
      <c r="C13" s="40"/>
      <c r="D13" s="45">
        <v>0</v>
      </c>
      <c r="E13" s="45">
        <v>0</v>
      </c>
      <c r="F13" s="45">
        <v>0</v>
      </c>
      <c r="G13" s="45">
        <v>0</v>
      </c>
      <c r="H13" s="45">
        <v>0.2</v>
      </c>
      <c r="I13" s="47">
        <f t="shared" si="3"/>
        <v>0.26153846153846155</v>
      </c>
      <c r="J13" s="47">
        <f t="shared" ref="J13:T15" si="10">I13+($U$12-$H$12)/COUNTA($I$5:$U$5)</f>
        <v>0.32307692307692309</v>
      </c>
      <c r="K13" s="47">
        <f t="shared" si="10"/>
        <v>0.38461538461538464</v>
      </c>
      <c r="L13" s="47">
        <f t="shared" si="10"/>
        <v>0.44615384615384618</v>
      </c>
      <c r="M13" s="47">
        <f t="shared" si="10"/>
        <v>0.50769230769230766</v>
      </c>
      <c r="N13" s="47">
        <f t="shared" si="10"/>
        <v>0.56923076923076921</v>
      </c>
      <c r="O13" s="47">
        <f t="shared" si="10"/>
        <v>0.63076923076923075</v>
      </c>
      <c r="P13" s="47">
        <f t="shared" si="10"/>
        <v>0.69230769230769229</v>
      </c>
      <c r="Q13" s="47">
        <f t="shared" si="10"/>
        <v>0.75384615384615383</v>
      </c>
      <c r="R13" s="47">
        <f t="shared" si="10"/>
        <v>0.81538461538461537</v>
      </c>
      <c r="S13" s="47">
        <f t="shared" si="10"/>
        <v>0.87692307692307692</v>
      </c>
      <c r="T13" s="47">
        <f t="shared" si="10"/>
        <v>0.93846153846153846</v>
      </c>
      <c r="U13" s="45">
        <f>Предположения!$C$31</f>
        <v>1</v>
      </c>
      <c r="V13" s="47">
        <f t="shared" si="4"/>
        <v>1</v>
      </c>
      <c r="W13" s="47">
        <f t="shared" si="4"/>
        <v>1</v>
      </c>
      <c r="X13" s="47">
        <f t="shared" si="5"/>
        <v>1</v>
      </c>
      <c r="Y13" s="47">
        <f t="shared" si="6"/>
        <v>1</v>
      </c>
      <c r="Z13" s="47">
        <f t="shared" si="7"/>
        <v>1</v>
      </c>
      <c r="AA13" s="47">
        <f t="shared" si="8"/>
        <v>1</v>
      </c>
      <c r="AC13" s="47">
        <f t="shared" si="9"/>
        <v>0</v>
      </c>
      <c r="AD13" s="47">
        <f t="shared" si="9"/>
        <v>0.29230769230769232</v>
      </c>
      <c r="AE13" s="47">
        <f t="shared" si="9"/>
        <v>0.53846153846153844</v>
      </c>
      <c r="AF13" s="47">
        <f t="shared" si="9"/>
        <v>0.7846153846153846</v>
      </c>
      <c r="AG13" s="47">
        <f t="shared" si="9"/>
        <v>0.98461538461538467</v>
      </c>
      <c r="AH13" s="47">
        <f t="shared" si="9"/>
        <v>1</v>
      </c>
    </row>
    <row r="14" spans="1:34">
      <c r="A14" s="42" t="s">
        <v>65</v>
      </c>
      <c r="B14" s="39" t="s">
        <v>49</v>
      </c>
      <c r="C14" s="40"/>
      <c r="D14" s="45">
        <v>0</v>
      </c>
      <c r="E14" s="45">
        <v>0</v>
      </c>
      <c r="F14" s="45">
        <v>0</v>
      </c>
      <c r="G14" s="45">
        <v>0</v>
      </c>
      <c r="H14" s="45">
        <v>0.2</v>
      </c>
      <c r="I14" s="47">
        <f t="shared" si="3"/>
        <v>0.26153846153846155</v>
      </c>
      <c r="J14" s="47">
        <f t="shared" si="10"/>
        <v>0.32307692307692309</v>
      </c>
      <c r="K14" s="47">
        <f t="shared" si="10"/>
        <v>0.38461538461538464</v>
      </c>
      <c r="L14" s="47">
        <f t="shared" si="10"/>
        <v>0.44615384615384618</v>
      </c>
      <c r="M14" s="47">
        <f t="shared" si="10"/>
        <v>0.50769230769230766</v>
      </c>
      <c r="N14" s="47">
        <f t="shared" si="10"/>
        <v>0.56923076923076921</v>
      </c>
      <c r="O14" s="47">
        <f t="shared" si="10"/>
        <v>0.63076923076923075</v>
      </c>
      <c r="P14" s="47">
        <f t="shared" si="10"/>
        <v>0.69230769230769229</v>
      </c>
      <c r="Q14" s="47">
        <f t="shared" si="10"/>
        <v>0.75384615384615383</v>
      </c>
      <c r="R14" s="47">
        <f t="shared" si="10"/>
        <v>0.81538461538461537</v>
      </c>
      <c r="S14" s="47">
        <f t="shared" si="10"/>
        <v>0.87692307692307692</v>
      </c>
      <c r="T14" s="47">
        <f t="shared" si="10"/>
        <v>0.93846153846153846</v>
      </c>
      <c r="U14" s="45">
        <f>Предположения!$C$31</f>
        <v>1</v>
      </c>
      <c r="V14" s="47">
        <f t="shared" si="4"/>
        <v>1</v>
      </c>
      <c r="W14" s="47">
        <f t="shared" si="4"/>
        <v>1</v>
      </c>
      <c r="X14" s="47">
        <f t="shared" si="5"/>
        <v>1</v>
      </c>
      <c r="Y14" s="47">
        <f t="shared" si="6"/>
        <v>1</v>
      </c>
      <c r="Z14" s="47">
        <f t="shared" si="7"/>
        <v>1</v>
      </c>
      <c r="AA14" s="47">
        <f t="shared" si="8"/>
        <v>1</v>
      </c>
      <c r="AC14" s="47">
        <f t="shared" si="9"/>
        <v>0</v>
      </c>
      <c r="AD14" s="47">
        <f t="shared" si="9"/>
        <v>0.29230769230769232</v>
      </c>
      <c r="AE14" s="47">
        <f t="shared" si="9"/>
        <v>0.53846153846153844</v>
      </c>
      <c r="AF14" s="47">
        <f t="shared" si="9"/>
        <v>0.7846153846153846</v>
      </c>
      <c r="AG14" s="47">
        <f t="shared" si="9"/>
        <v>0.98461538461538467</v>
      </c>
      <c r="AH14" s="47">
        <f t="shared" si="9"/>
        <v>1</v>
      </c>
    </row>
    <row r="15" spans="1:34">
      <c r="A15" s="42" t="s">
        <v>65</v>
      </c>
      <c r="B15" s="39" t="s">
        <v>49</v>
      </c>
      <c r="C15" s="40"/>
      <c r="D15" s="45">
        <v>0</v>
      </c>
      <c r="E15" s="45">
        <v>0</v>
      </c>
      <c r="F15" s="45">
        <v>0</v>
      </c>
      <c r="G15" s="45">
        <v>0</v>
      </c>
      <c r="H15" s="45">
        <v>0.2</v>
      </c>
      <c r="I15" s="47">
        <f t="shared" si="3"/>
        <v>0.26153846153846155</v>
      </c>
      <c r="J15" s="47">
        <f t="shared" si="10"/>
        <v>0.32307692307692309</v>
      </c>
      <c r="K15" s="47">
        <f t="shared" si="10"/>
        <v>0.38461538461538464</v>
      </c>
      <c r="L15" s="47">
        <f t="shared" si="10"/>
        <v>0.44615384615384618</v>
      </c>
      <c r="M15" s="47">
        <f t="shared" si="10"/>
        <v>0.50769230769230766</v>
      </c>
      <c r="N15" s="47">
        <f t="shared" si="10"/>
        <v>0.56923076923076921</v>
      </c>
      <c r="O15" s="47">
        <f t="shared" si="10"/>
        <v>0.63076923076923075</v>
      </c>
      <c r="P15" s="47">
        <f t="shared" si="10"/>
        <v>0.69230769230769229</v>
      </c>
      <c r="Q15" s="47">
        <f t="shared" si="10"/>
        <v>0.75384615384615383</v>
      </c>
      <c r="R15" s="47">
        <f t="shared" si="10"/>
        <v>0.81538461538461537</v>
      </c>
      <c r="S15" s="47">
        <f t="shared" si="10"/>
        <v>0.87692307692307692</v>
      </c>
      <c r="T15" s="47">
        <f t="shared" si="10"/>
        <v>0.93846153846153846</v>
      </c>
      <c r="U15" s="45">
        <f>Предположения!$C$31</f>
        <v>1</v>
      </c>
      <c r="V15" s="47">
        <f t="shared" si="4"/>
        <v>1</v>
      </c>
      <c r="W15" s="47">
        <f t="shared" si="4"/>
        <v>1</v>
      </c>
      <c r="X15" s="47">
        <f t="shared" si="5"/>
        <v>1</v>
      </c>
      <c r="Y15" s="47">
        <f t="shared" si="6"/>
        <v>1</v>
      </c>
      <c r="Z15" s="47">
        <f t="shared" si="7"/>
        <v>1</v>
      </c>
      <c r="AA15" s="47">
        <f t="shared" si="8"/>
        <v>1</v>
      </c>
      <c r="AC15" s="47">
        <f t="shared" si="9"/>
        <v>0</v>
      </c>
      <c r="AD15" s="47">
        <f t="shared" si="9"/>
        <v>0.29230769230769232</v>
      </c>
      <c r="AE15" s="47">
        <f t="shared" si="9"/>
        <v>0.53846153846153844</v>
      </c>
      <c r="AF15" s="47">
        <f t="shared" si="9"/>
        <v>0.7846153846153846</v>
      </c>
      <c r="AG15" s="47">
        <f t="shared" si="9"/>
        <v>0.98461538461538467</v>
      </c>
      <c r="AH15" s="47">
        <f t="shared" si="9"/>
        <v>1</v>
      </c>
    </row>
    <row r="16" spans="1:34">
      <c r="A16" s="42"/>
      <c r="B16" s="39"/>
      <c r="C16" s="40"/>
      <c r="D16" s="40"/>
      <c r="E16" s="40"/>
      <c r="F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C16" s="40"/>
      <c r="AD16" s="40"/>
      <c r="AE16" s="40"/>
      <c r="AF16" s="40"/>
      <c r="AG16" s="40"/>
      <c r="AH16" s="40"/>
    </row>
    <row r="17" spans="1:34">
      <c r="A17" s="38" t="s">
        <v>118</v>
      </c>
      <c r="B17" s="39"/>
      <c r="C17" s="40"/>
      <c r="D17" s="40"/>
      <c r="E17" s="40"/>
      <c r="F17" s="72" t="s">
        <v>119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C17" s="40"/>
      <c r="AD17" s="40"/>
      <c r="AE17" s="40"/>
      <c r="AF17" s="40"/>
      <c r="AG17" s="40"/>
      <c r="AH17" s="40"/>
    </row>
    <row r="18" spans="1:34">
      <c r="A18" s="42" t="s">
        <v>65</v>
      </c>
      <c r="B18" s="39" t="s">
        <v>66</v>
      </c>
      <c r="C18" s="40"/>
      <c r="D18" s="40">
        <f>D12*Предположения!$C26</f>
        <v>0</v>
      </c>
      <c r="E18" s="40">
        <f>E12*Предположения!$C26</f>
        <v>0</v>
      </c>
      <c r="F18" s="43">
        <v>25</v>
      </c>
      <c r="G18" s="40">
        <f>G12*Предположения!$C26</f>
        <v>0</v>
      </c>
      <c r="H18" s="40">
        <f>H12*Предположения!$C26</f>
        <v>210</v>
      </c>
      <c r="I18" s="40">
        <f>I12*Предположения!$C26</f>
        <v>274.61538461538464</v>
      </c>
      <c r="J18" s="40">
        <f>J12*Предположения!$C26</f>
        <v>339.23076923076923</v>
      </c>
      <c r="K18" s="40">
        <f>K12*Предположения!$C26</f>
        <v>403.84615384615387</v>
      </c>
      <c r="L18" s="40">
        <f>L12*Предположения!$C26</f>
        <v>468.46153846153851</v>
      </c>
      <c r="M18" s="40">
        <f>M12*Предположения!$C26</f>
        <v>533.07692307692309</v>
      </c>
      <c r="N18" s="40">
        <f>N12*Предположения!$C26</f>
        <v>597.69230769230762</v>
      </c>
      <c r="O18" s="40">
        <f>O12*Предположения!$C26</f>
        <v>662.30769230769226</v>
      </c>
      <c r="P18" s="40">
        <f>P12*Предположения!$C26</f>
        <v>726.92307692307691</v>
      </c>
      <c r="Q18" s="40">
        <f>Q12*Предположения!$C26</f>
        <v>791.53846153846155</v>
      </c>
      <c r="R18" s="40">
        <f>R12*Предположения!$C26</f>
        <v>856.15384615384619</v>
      </c>
      <c r="S18" s="40">
        <f>S12*Предположения!$C26</f>
        <v>920.76923076923072</v>
      </c>
      <c r="T18" s="40">
        <f>T12*Предположения!$C26</f>
        <v>985.38461538461536</v>
      </c>
      <c r="U18" s="40">
        <f>U12*Предположения!$C26</f>
        <v>1050</v>
      </c>
      <c r="V18" s="40">
        <f>V12*Предположения!$C26</f>
        <v>1050</v>
      </c>
      <c r="W18" s="40">
        <f>W12*Предположения!$C26</f>
        <v>1050</v>
      </c>
      <c r="X18" s="40">
        <f>X12*Предположения!$C26</f>
        <v>1050</v>
      </c>
      <c r="Y18" s="40">
        <f>Y12*Предположения!$C26</f>
        <v>1050</v>
      </c>
      <c r="Z18" s="40">
        <f>Z12*Предположения!$C26</f>
        <v>1050</v>
      </c>
      <c r="AA18" s="40">
        <f>AA12*Предположения!$C26</f>
        <v>1050</v>
      </c>
      <c r="AC18" s="40">
        <f t="shared" ref="AC18:AH21" si="11">SUMIF($D$4:$AA$4,AC$5,$D18:$AA18)</f>
        <v>25</v>
      </c>
      <c r="AD18" s="40">
        <f t="shared" si="11"/>
        <v>1227.6923076923076</v>
      </c>
      <c r="AE18" s="40">
        <f t="shared" si="11"/>
        <v>2261.5384615384614</v>
      </c>
      <c r="AF18" s="40">
        <f t="shared" si="11"/>
        <v>3295.3846153846152</v>
      </c>
      <c r="AG18" s="40">
        <f t="shared" si="11"/>
        <v>4135.3846153846152</v>
      </c>
      <c r="AH18" s="40">
        <f t="shared" si="11"/>
        <v>4200</v>
      </c>
    </row>
    <row r="19" spans="1:34">
      <c r="A19" s="42" t="s">
        <v>65</v>
      </c>
      <c r="B19" s="39" t="s">
        <v>66</v>
      </c>
      <c r="C19" s="40"/>
      <c r="D19" s="40">
        <f>D13*Предположения!$C27</f>
        <v>0</v>
      </c>
      <c r="E19" s="40">
        <f>E13*Предположения!$C27</f>
        <v>0</v>
      </c>
      <c r="F19" s="43">
        <v>25</v>
      </c>
      <c r="G19" s="40">
        <f>G13*Предположения!$C27</f>
        <v>0</v>
      </c>
      <c r="H19" s="40">
        <f>H13*Предположения!$C27</f>
        <v>0</v>
      </c>
      <c r="I19" s="40">
        <f>I13*Предположения!$C27</f>
        <v>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C19" s="40">
        <f t="shared" si="11"/>
        <v>25</v>
      </c>
      <c r="AD19" s="40"/>
      <c r="AE19" s="40"/>
      <c r="AF19" s="40"/>
      <c r="AG19" s="40"/>
      <c r="AH19" s="40"/>
    </row>
    <row r="20" spans="1:34">
      <c r="A20" s="42" t="s">
        <v>65</v>
      </c>
      <c r="B20" s="39" t="s">
        <v>66</v>
      </c>
      <c r="C20" s="40"/>
      <c r="D20" s="40">
        <f>D14*Предположения!$C28</f>
        <v>0</v>
      </c>
      <c r="E20" s="40">
        <f>E14*Предположения!$C28</f>
        <v>0</v>
      </c>
      <c r="F20" s="43">
        <v>25</v>
      </c>
      <c r="G20" s="40">
        <f>G14*Предположения!$C28</f>
        <v>0</v>
      </c>
      <c r="H20" s="40">
        <f>H14*Предположения!$C28</f>
        <v>0</v>
      </c>
      <c r="I20" s="40">
        <f>I14*Предположения!$C28</f>
        <v>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C20" s="40">
        <f t="shared" si="11"/>
        <v>25</v>
      </c>
      <c r="AD20" s="40"/>
      <c r="AE20" s="40"/>
      <c r="AF20" s="40"/>
      <c r="AG20" s="40"/>
      <c r="AH20" s="40"/>
    </row>
    <row r="21" spans="1:34">
      <c r="A21" s="42" t="s">
        <v>65</v>
      </c>
      <c r="B21" s="39" t="s">
        <v>66</v>
      </c>
      <c r="C21" s="40"/>
      <c r="D21" s="40">
        <f>D15*Предположения!$C29</f>
        <v>0</v>
      </c>
      <c r="E21" s="40">
        <f>E15*Предположения!$C29</f>
        <v>0</v>
      </c>
      <c r="F21" s="43">
        <v>25</v>
      </c>
      <c r="G21" s="40">
        <f>G15*Предположения!$C29</f>
        <v>0</v>
      </c>
      <c r="H21" s="40">
        <f>H15*Предположения!$C29</f>
        <v>0</v>
      </c>
      <c r="I21" s="40">
        <f>I15*Предположения!$C29</f>
        <v>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C21" s="40">
        <f t="shared" si="11"/>
        <v>25</v>
      </c>
      <c r="AD21" s="40"/>
      <c r="AE21" s="40"/>
      <c r="AF21" s="40"/>
      <c r="AG21" s="40"/>
      <c r="AH21" s="40"/>
    </row>
    <row r="22" spans="1:34">
      <c r="A22" s="73" t="s">
        <v>120</v>
      </c>
      <c r="B22" s="73" t="s">
        <v>66</v>
      </c>
      <c r="C22" s="74"/>
      <c r="D22" s="74">
        <f t="shared" ref="D22:N22" si="12">SUM(D18:D21)</f>
        <v>0</v>
      </c>
      <c r="E22" s="74">
        <f t="shared" si="12"/>
        <v>0</v>
      </c>
      <c r="F22" s="74">
        <f t="shared" si="12"/>
        <v>100</v>
      </c>
      <c r="G22" s="74">
        <f t="shared" si="12"/>
        <v>0</v>
      </c>
      <c r="H22" s="74">
        <f t="shared" si="12"/>
        <v>210</v>
      </c>
      <c r="I22" s="74">
        <f t="shared" si="12"/>
        <v>274.61538461538464</v>
      </c>
      <c r="J22" s="74">
        <f t="shared" si="12"/>
        <v>339.23076923076923</v>
      </c>
      <c r="K22" s="74">
        <f t="shared" si="12"/>
        <v>403.84615384615387</v>
      </c>
      <c r="L22" s="74">
        <f t="shared" si="12"/>
        <v>468.46153846153851</v>
      </c>
      <c r="M22" s="74">
        <f t="shared" si="12"/>
        <v>533.07692307692309</v>
      </c>
      <c r="N22" s="74">
        <f t="shared" si="12"/>
        <v>597.69230769230762</v>
      </c>
      <c r="O22" s="74">
        <f t="shared" ref="O22:AA22" si="13">SUM(O18:O21)</f>
        <v>662.30769230769226</v>
      </c>
      <c r="P22" s="74">
        <f t="shared" si="13"/>
        <v>726.92307692307691</v>
      </c>
      <c r="Q22" s="74">
        <f t="shared" si="13"/>
        <v>791.53846153846155</v>
      </c>
      <c r="R22" s="74">
        <f t="shared" si="13"/>
        <v>856.15384615384619</v>
      </c>
      <c r="S22" s="74">
        <f t="shared" si="13"/>
        <v>920.76923076923072</v>
      </c>
      <c r="T22" s="74">
        <f t="shared" si="13"/>
        <v>985.38461538461536</v>
      </c>
      <c r="U22" s="74">
        <f t="shared" si="13"/>
        <v>1050</v>
      </c>
      <c r="V22" s="74">
        <f t="shared" si="13"/>
        <v>1050</v>
      </c>
      <c r="W22" s="74">
        <f t="shared" si="13"/>
        <v>1050</v>
      </c>
      <c r="X22" s="74">
        <f t="shared" si="13"/>
        <v>1050</v>
      </c>
      <c r="Y22" s="74">
        <f t="shared" si="13"/>
        <v>1050</v>
      </c>
      <c r="Z22" s="74">
        <f t="shared" si="13"/>
        <v>1050</v>
      </c>
      <c r="AA22" s="74">
        <f t="shared" si="13"/>
        <v>1050</v>
      </c>
      <c r="AC22" s="74">
        <f t="shared" ref="AC22:AH22" si="14">SUM(AC18:AC21)</f>
        <v>100</v>
      </c>
      <c r="AD22" s="74">
        <f t="shared" si="14"/>
        <v>1227.6923076923076</v>
      </c>
      <c r="AE22" s="74">
        <f t="shared" si="14"/>
        <v>2261.5384615384614</v>
      </c>
      <c r="AF22" s="74">
        <f t="shared" si="14"/>
        <v>3295.3846153846152</v>
      </c>
      <c r="AG22" s="74">
        <f t="shared" si="14"/>
        <v>4135.3846153846152</v>
      </c>
      <c r="AH22" s="74">
        <f t="shared" si="14"/>
        <v>4200</v>
      </c>
    </row>
    <row r="23" spans="1:34">
      <c r="A23" s="42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C23" s="40"/>
      <c r="AD23" s="40"/>
      <c r="AE23" s="40"/>
      <c r="AF23" s="40"/>
      <c r="AG23" s="40"/>
      <c r="AH23" s="40"/>
    </row>
    <row r="24" spans="1:34">
      <c r="A24" s="38"/>
      <c r="B24" s="38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C24" s="75"/>
      <c r="AD24" s="75"/>
      <c r="AE24" s="75"/>
      <c r="AF24" s="75"/>
      <c r="AG24" s="75"/>
      <c r="AH24" s="75"/>
    </row>
    <row r="25" spans="1:34">
      <c r="A25" s="71" t="s">
        <v>121</v>
      </c>
      <c r="B25" s="7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C25" s="21"/>
      <c r="AD25" s="21"/>
      <c r="AE25" s="21"/>
      <c r="AF25" s="21"/>
      <c r="AG25" s="21"/>
      <c r="AH25" s="21"/>
    </row>
    <row r="26" spans="1:34">
      <c r="A26" s="42" t="s">
        <v>65</v>
      </c>
      <c r="B26" s="39" t="s">
        <v>69</v>
      </c>
      <c r="D26" s="40">
        <f>Предположения!C33/(1+Предположения!D$14)</f>
        <v>3230.7692307692305</v>
      </c>
      <c r="E26" s="40">
        <f t="shared" ref="E26:H29" si="15">D26*(1+E$8)</f>
        <v>3352.1758816789211</v>
      </c>
      <c r="F26" s="43">
        <f>E26*(1+F$8)*Предположения!C$38</f>
        <v>1739.0723909789058</v>
      </c>
      <c r="G26" s="40">
        <f>F26*(1+G$8)/Предположения!C$38</f>
        <v>3608.8473729491138</v>
      </c>
      <c r="H26" s="40">
        <f>G26*(1+H$8)</f>
        <v>3715.8664159406253</v>
      </c>
      <c r="I26" s="40">
        <f t="shared" ref="I26:J29" si="16">H26*(1+I$8)</f>
        <v>3826.0590693343579</v>
      </c>
      <c r="J26" s="40">
        <f t="shared" si="16"/>
        <v>3939.5194453808376</v>
      </c>
      <c r="K26" s="40">
        <f t="shared" ref="K26" si="17">J26*(1+K$8)</f>
        <v>4056.3444471948037</v>
      </c>
      <c r="L26" s="40">
        <f t="shared" ref="L26" si="18">K26*(1+L$8)</f>
        <v>4184.0458307166073</v>
      </c>
      <c r="M26" s="40">
        <f t="shared" ref="M26" si="19">L26*(1+M$8)</f>
        <v>4315.7674949531465</v>
      </c>
      <c r="N26" s="40">
        <f t="shared" ref="N26" si="20">M26*(1+N$8)</f>
        <v>4451.6360059335402</v>
      </c>
      <c r="O26" s="40">
        <f t="shared" ref="O26" si="21">N26*(1+O$8)</f>
        <v>4591.7819142245198</v>
      </c>
      <c r="P26" s="40">
        <f t="shared" ref="P26" si="22">O26*(1+P$8)</f>
        <v>4755.0568460745953</v>
      </c>
      <c r="Q26" s="40">
        <f t="shared" ref="Q26" si="23">P26*(1+Q$8)</f>
        <v>4924.1375204160686</v>
      </c>
      <c r="R26" s="40">
        <f t="shared" ref="R26" si="24">Q26*(1+R$8)</f>
        <v>5099.2303782836689</v>
      </c>
      <c r="S26" s="40">
        <f t="shared" ref="S26" si="25">R26*(1+S$8)</f>
        <v>5280.5492013581979</v>
      </c>
      <c r="T26" s="40">
        <f t="shared" ref="T26" si="26">S26*(1+T$8)</f>
        <v>5374.3880890203809</v>
      </c>
      <c r="U26" s="40">
        <f t="shared" ref="U26" si="27">T26*(1+U$8)</f>
        <v>5469.8945564175292</v>
      </c>
      <c r="V26" s="40">
        <f t="shared" ref="V26" si="28">U26*(1+V$8)</f>
        <v>5567.0982375557769</v>
      </c>
      <c r="W26" s="40">
        <f t="shared" ref="W26" si="29">V26*(1+W$8)</f>
        <v>5666.0292930573451</v>
      </c>
      <c r="X26" s="40">
        <f t="shared" ref="X26" si="30">W26*(1+X$8)</f>
        <v>5757.2901434647347</v>
      </c>
      <c r="Y26" s="40">
        <f t="shared" ref="Y26" si="31">X26*(1+Y$8)</f>
        <v>5850.0209020540824</v>
      </c>
      <c r="Z26" s="40">
        <f t="shared" ref="Z26" si="32">Y26*(1+Z$8)</f>
        <v>5944.2452441478708</v>
      </c>
      <c r="AA26" s="40">
        <f t="shared" ref="AA26" si="33">Z26*(1+AA$8)</f>
        <v>6039.987226399131</v>
      </c>
      <c r="AC26" s="40">
        <f t="shared" ref="AC26" si="34">AC33/AC18*1000</f>
        <v>1739.0723909789058</v>
      </c>
      <c r="AD26" s="40">
        <f t="shared" ref="AD26:AH26" si="35">AD33/AD18*1000</f>
        <v>3914.3129884049995</v>
      </c>
      <c r="AE26" s="40">
        <f t="shared" si="35"/>
        <v>4405.2231937641554</v>
      </c>
      <c r="AF26" s="40">
        <f t="shared" si="35"/>
        <v>5031.9157406872346</v>
      </c>
      <c r="AG26" s="40">
        <f t="shared" si="35"/>
        <v>5521.6176136220138</v>
      </c>
      <c r="AH26" s="40">
        <f t="shared" si="35"/>
        <v>5897.885879016455</v>
      </c>
    </row>
    <row r="27" spans="1:34">
      <c r="A27" s="42" t="s">
        <v>65</v>
      </c>
      <c r="B27" s="39" t="s">
        <v>69</v>
      </c>
      <c r="D27" s="40">
        <f>Предположения!C34/(1+Предположения!D$14)</f>
        <v>0</v>
      </c>
      <c r="E27" s="40">
        <f t="shared" si="15"/>
        <v>0</v>
      </c>
      <c r="F27" s="43">
        <f>E27*(1+F$8)*Предположения!C$38</f>
        <v>0</v>
      </c>
      <c r="G27" s="40">
        <f>F27*(1+G$8)/Предположения!C$38</f>
        <v>0</v>
      </c>
      <c r="H27" s="40">
        <f t="shared" si="15"/>
        <v>0</v>
      </c>
      <c r="I27" s="40">
        <f t="shared" si="16"/>
        <v>0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C27" s="40"/>
      <c r="AD27" s="40"/>
      <c r="AE27" s="40"/>
      <c r="AF27" s="40"/>
      <c r="AG27" s="40"/>
      <c r="AH27" s="40"/>
    </row>
    <row r="28" spans="1:34">
      <c r="A28" s="42" t="s">
        <v>65</v>
      </c>
      <c r="B28" s="39" t="s">
        <v>69</v>
      </c>
      <c r="D28" s="40">
        <f>Предположения!C35/(1+Предположения!D$14)</f>
        <v>0</v>
      </c>
      <c r="E28" s="40">
        <f t="shared" si="15"/>
        <v>0</v>
      </c>
      <c r="F28" s="43">
        <f>E28*(1+F$8)*Предположения!C$38</f>
        <v>0</v>
      </c>
      <c r="G28" s="40">
        <f>F28*(1+G$8)/Предположения!C$38</f>
        <v>0</v>
      </c>
      <c r="H28" s="40">
        <f t="shared" ref="H28:H29" si="36">G28*(1+H$8)</f>
        <v>0</v>
      </c>
      <c r="I28" s="40">
        <f t="shared" si="16"/>
        <v>0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C28" s="40"/>
      <c r="AD28" s="40"/>
      <c r="AE28" s="40"/>
      <c r="AF28" s="40"/>
      <c r="AG28" s="40"/>
      <c r="AH28" s="40"/>
    </row>
    <row r="29" spans="1:34">
      <c r="A29" s="42" t="s">
        <v>65</v>
      </c>
      <c r="B29" s="39" t="s">
        <v>69</v>
      </c>
      <c r="D29" s="40">
        <f>Предположения!C36/(1+Предположения!D$14)</f>
        <v>0</v>
      </c>
      <c r="E29" s="40">
        <f t="shared" si="15"/>
        <v>0</v>
      </c>
      <c r="F29" s="43">
        <f>E29*(1+F$8)*Предположения!C$38</f>
        <v>0</v>
      </c>
      <c r="G29" s="40">
        <f>F29*(1+G$8)/Предположения!C$38</f>
        <v>0</v>
      </c>
      <c r="H29" s="40">
        <f t="shared" si="36"/>
        <v>0</v>
      </c>
      <c r="I29" s="40">
        <f t="shared" si="16"/>
        <v>0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C29" s="40"/>
      <c r="AD29" s="40"/>
      <c r="AE29" s="40"/>
      <c r="AF29" s="40"/>
      <c r="AG29" s="40"/>
      <c r="AH29" s="40"/>
    </row>
    <row r="30" spans="1:34">
      <c r="A30" s="73" t="s">
        <v>122</v>
      </c>
      <c r="B30" s="73" t="s">
        <v>69</v>
      </c>
      <c r="C30" s="74"/>
      <c r="D30" s="74"/>
      <c r="E30" s="74">
        <f>IFERROR(SUMPRODUCT(E26:E29,E18:E21)/E22,)</f>
        <v>0</v>
      </c>
      <c r="F30" s="74">
        <f t="shared" ref="F30:H30" si="37">IFERROR(SUMPRODUCT(F26:F29,F18:F21)/F22,)</f>
        <v>434.76809774472645</v>
      </c>
      <c r="G30" s="74">
        <f t="shared" si="37"/>
        <v>0</v>
      </c>
      <c r="H30" s="74">
        <f t="shared" si="37"/>
        <v>3715.8664159406253</v>
      </c>
      <c r="I30" s="74">
        <f t="shared" ref="I30:AA30" si="38">IFERROR(SUMPRODUCT(I26:I29,I18:I21)/I22,)</f>
        <v>3826.0590693343584</v>
      </c>
      <c r="J30" s="74">
        <f t="shared" si="38"/>
        <v>3939.5194453808376</v>
      </c>
      <c r="K30" s="74">
        <f t="shared" si="38"/>
        <v>4056.3444471948037</v>
      </c>
      <c r="L30" s="74">
        <f t="shared" si="38"/>
        <v>4184.0458307166073</v>
      </c>
      <c r="M30" s="74">
        <f t="shared" si="38"/>
        <v>4315.7674949531465</v>
      </c>
      <c r="N30" s="74">
        <f t="shared" si="38"/>
        <v>4451.6360059335402</v>
      </c>
      <c r="O30" s="74">
        <f t="shared" si="38"/>
        <v>4591.7819142245198</v>
      </c>
      <c r="P30" s="74">
        <f t="shared" si="38"/>
        <v>4755.0568460745953</v>
      </c>
      <c r="Q30" s="74">
        <f t="shared" si="38"/>
        <v>4924.1375204160686</v>
      </c>
      <c r="R30" s="74">
        <f t="shared" si="38"/>
        <v>5099.230378283668</v>
      </c>
      <c r="S30" s="74">
        <f t="shared" si="38"/>
        <v>5280.5492013581979</v>
      </c>
      <c r="T30" s="74">
        <f t="shared" si="38"/>
        <v>5374.3880890203809</v>
      </c>
      <c r="U30" s="74">
        <f t="shared" si="38"/>
        <v>5469.8945564175292</v>
      </c>
      <c r="V30" s="74">
        <f t="shared" si="38"/>
        <v>5567.0982375557769</v>
      </c>
      <c r="W30" s="74">
        <f t="shared" si="38"/>
        <v>5666.0292930573451</v>
      </c>
      <c r="X30" s="74">
        <f t="shared" si="38"/>
        <v>5757.2901434647347</v>
      </c>
      <c r="Y30" s="74">
        <f t="shared" si="38"/>
        <v>5850.0209020540824</v>
      </c>
      <c r="Z30" s="74">
        <f t="shared" si="38"/>
        <v>5944.2452441478708</v>
      </c>
      <c r="AA30" s="74">
        <f t="shared" si="38"/>
        <v>6039.987226399131</v>
      </c>
      <c r="AC30" s="74">
        <f t="shared" ref="AC30:AH30" si="39">IFERROR(SUMPRODUCT(AC26:AC29,AC18:AC21)/AC22,)</f>
        <v>434.76809774472645</v>
      </c>
      <c r="AD30" s="74">
        <f t="shared" si="39"/>
        <v>3914.3129884049995</v>
      </c>
      <c r="AE30" s="74">
        <f t="shared" si="39"/>
        <v>4405.2231937641554</v>
      </c>
      <c r="AF30" s="74">
        <f t="shared" si="39"/>
        <v>5031.9157406872346</v>
      </c>
      <c r="AG30" s="74">
        <f t="shared" si="39"/>
        <v>5521.6176136220138</v>
      </c>
      <c r="AH30" s="74">
        <f t="shared" si="39"/>
        <v>5897.885879016455</v>
      </c>
    </row>
    <row r="31" spans="1:34">
      <c r="A31" s="42"/>
      <c r="B31" s="3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C31" s="47"/>
      <c r="AD31" s="47"/>
      <c r="AE31" s="47"/>
      <c r="AF31" s="47"/>
      <c r="AG31" s="47"/>
      <c r="AH31" s="47"/>
    </row>
    <row r="32" spans="1:34">
      <c r="A32" s="71" t="s">
        <v>4</v>
      </c>
      <c r="B32" s="7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C32" s="21"/>
      <c r="AD32" s="21"/>
      <c r="AE32" s="21"/>
      <c r="AF32" s="21"/>
      <c r="AG32" s="21"/>
      <c r="AH32" s="21"/>
    </row>
    <row r="33" spans="1:34">
      <c r="A33" s="42" t="s">
        <v>65</v>
      </c>
      <c r="B33" s="39" t="s">
        <v>96</v>
      </c>
      <c r="C33" s="40"/>
      <c r="D33" s="40">
        <f t="shared" ref="D33:H36" si="40">D26*D18/1000</f>
        <v>0</v>
      </c>
      <c r="E33" s="40">
        <f t="shared" si="40"/>
        <v>0</v>
      </c>
      <c r="F33" s="40">
        <f t="shared" ref="F33:F36" si="41">F26*F18/1000</f>
        <v>43.476809774472649</v>
      </c>
      <c r="G33" s="40">
        <f t="shared" si="40"/>
        <v>0</v>
      </c>
      <c r="H33" s="40">
        <f t="shared" si="40"/>
        <v>780.33194734753135</v>
      </c>
      <c r="I33" s="40">
        <f t="shared" ref="I33:AA36" si="42">I26*I18/1000</f>
        <v>1050.6946828864354</v>
      </c>
      <c r="J33" s="40">
        <f t="shared" si="42"/>
        <v>1336.4062118561149</v>
      </c>
      <c r="K33" s="40">
        <f t="shared" si="42"/>
        <v>1638.1391036748246</v>
      </c>
      <c r="L33" s="40">
        <f t="shared" si="42"/>
        <v>1960.0645468510879</v>
      </c>
      <c r="M33" s="40">
        <f t="shared" si="42"/>
        <v>2300.6360569250232</v>
      </c>
      <c r="N33" s="40">
        <f t="shared" si="42"/>
        <v>2660.7085973925846</v>
      </c>
      <c r="O33" s="40">
        <f t="shared" si="42"/>
        <v>3041.1724831902393</v>
      </c>
      <c r="P33" s="40">
        <f t="shared" si="42"/>
        <v>3456.5605534926867</v>
      </c>
      <c r="Q33" s="40">
        <f t="shared" si="42"/>
        <v>3897.6442373139494</v>
      </c>
      <c r="R33" s="40">
        <f t="shared" si="42"/>
        <v>4365.7257007920944</v>
      </c>
      <c r="S33" s="40">
        <f t="shared" si="42"/>
        <v>4862.1672261736639</v>
      </c>
      <c r="T33" s="40">
        <f t="shared" si="42"/>
        <v>5295.8393400270061</v>
      </c>
      <c r="U33" s="40">
        <f t="shared" si="42"/>
        <v>5743.3892842384057</v>
      </c>
      <c r="V33" s="40">
        <f t="shared" si="42"/>
        <v>5845.4531494335652</v>
      </c>
      <c r="W33" s="40">
        <f t="shared" si="42"/>
        <v>5949.3307577102123</v>
      </c>
      <c r="X33" s="40">
        <f t="shared" si="42"/>
        <v>6045.1546506379709</v>
      </c>
      <c r="Y33" s="40">
        <f t="shared" si="42"/>
        <v>6142.5219471567871</v>
      </c>
      <c r="Z33" s="40">
        <f t="shared" si="42"/>
        <v>6241.4575063552638</v>
      </c>
      <c r="AA33" s="40">
        <f t="shared" si="42"/>
        <v>6341.9865877190878</v>
      </c>
      <c r="AC33" s="40">
        <f t="shared" ref="AC33:AH33" si="43">SUMIF($D$4:$AA$4,AC$5,$D33:$AA33)</f>
        <v>43.476809774472649</v>
      </c>
      <c r="AD33" s="40">
        <f t="shared" si="43"/>
        <v>4805.5719457649066</v>
      </c>
      <c r="AE33" s="40">
        <f t="shared" si="43"/>
        <v>9962.5816843589346</v>
      </c>
      <c r="AF33" s="40">
        <f t="shared" si="43"/>
        <v>16582.097717772394</v>
      </c>
      <c r="AG33" s="40">
        <f t="shared" si="43"/>
        <v>22834.012531409189</v>
      </c>
      <c r="AH33" s="40">
        <f t="shared" si="43"/>
        <v>24771.12069186911</v>
      </c>
    </row>
    <row r="34" spans="1:34">
      <c r="A34" s="42" t="s">
        <v>65</v>
      </c>
      <c r="B34" s="39" t="s">
        <v>96</v>
      </c>
      <c r="C34" s="40"/>
      <c r="D34" s="40">
        <f t="shared" si="40"/>
        <v>0</v>
      </c>
      <c r="E34" s="40">
        <f t="shared" si="40"/>
        <v>0</v>
      </c>
      <c r="F34" s="40">
        <f t="shared" si="41"/>
        <v>0</v>
      </c>
      <c r="G34" s="40">
        <f t="shared" si="40"/>
        <v>0</v>
      </c>
      <c r="H34" s="40">
        <f t="shared" si="40"/>
        <v>0</v>
      </c>
      <c r="I34" s="40">
        <f t="shared" si="42"/>
        <v>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C34" s="40"/>
      <c r="AD34" s="40"/>
      <c r="AE34" s="40"/>
      <c r="AF34" s="40"/>
      <c r="AG34" s="40"/>
      <c r="AH34" s="40"/>
    </row>
    <row r="35" spans="1:34">
      <c r="A35" s="42" t="s">
        <v>65</v>
      </c>
      <c r="B35" s="39" t="s">
        <v>96</v>
      </c>
      <c r="C35" s="40"/>
      <c r="D35" s="40">
        <f t="shared" si="40"/>
        <v>0</v>
      </c>
      <c r="E35" s="40">
        <f t="shared" si="40"/>
        <v>0</v>
      </c>
      <c r="F35" s="40">
        <f t="shared" si="41"/>
        <v>0</v>
      </c>
      <c r="G35" s="40">
        <f t="shared" si="40"/>
        <v>0</v>
      </c>
      <c r="H35" s="40">
        <f t="shared" si="40"/>
        <v>0</v>
      </c>
      <c r="I35" s="40">
        <f t="shared" si="42"/>
        <v>0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C35" s="40"/>
      <c r="AD35" s="40"/>
      <c r="AE35" s="40"/>
      <c r="AF35" s="40"/>
      <c r="AG35" s="40"/>
      <c r="AH35" s="40"/>
    </row>
    <row r="36" spans="1:34">
      <c r="A36" s="42" t="s">
        <v>65</v>
      </c>
      <c r="B36" s="39" t="s">
        <v>96</v>
      </c>
      <c r="C36" s="40"/>
      <c r="D36" s="40">
        <f t="shared" si="40"/>
        <v>0</v>
      </c>
      <c r="E36" s="40">
        <f t="shared" si="40"/>
        <v>0</v>
      </c>
      <c r="F36" s="40">
        <f t="shared" si="41"/>
        <v>0</v>
      </c>
      <c r="G36" s="40">
        <f t="shared" si="40"/>
        <v>0</v>
      </c>
      <c r="H36" s="40">
        <f t="shared" si="40"/>
        <v>0</v>
      </c>
      <c r="I36" s="40">
        <f t="shared" si="42"/>
        <v>0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C36" s="40"/>
      <c r="AD36" s="40"/>
      <c r="AE36" s="40"/>
      <c r="AF36" s="40"/>
      <c r="AG36" s="40"/>
      <c r="AH36" s="40"/>
    </row>
    <row r="37" spans="1:34">
      <c r="A37" s="73" t="s">
        <v>123</v>
      </c>
      <c r="B37" s="73" t="s">
        <v>96</v>
      </c>
      <c r="C37" s="74">
        <f>SUM(C33:C35)</f>
        <v>0</v>
      </c>
      <c r="D37" s="74">
        <f>SUM(D33:D36)</f>
        <v>0</v>
      </c>
      <c r="E37" s="74">
        <f t="shared" ref="E37:H37" si="44">SUM(E33:E36)</f>
        <v>0</v>
      </c>
      <c r="F37" s="74">
        <f t="shared" si="44"/>
        <v>43.476809774472649</v>
      </c>
      <c r="G37" s="74">
        <f t="shared" si="44"/>
        <v>0</v>
      </c>
      <c r="H37" s="74">
        <f t="shared" si="44"/>
        <v>780.33194734753135</v>
      </c>
      <c r="I37" s="74">
        <f t="shared" ref="I37:AA37" si="45">SUM(I33:I36)</f>
        <v>1050.6946828864354</v>
      </c>
      <c r="J37" s="74">
        <f t="shared" si="45"/>
        <v>1336.4062118561149</v>
      </c>
      <c r="K37" s="74">
        <f t="shared" si="45"/>
        <v>1638.1391036748246</v>
      </c>
      <c r="L37" s="74">
        <f t="shared" si="45"/>
        <v>1960.0645468510879</v>
      </c>
      <c r="M37" s="74">
        <f t="shared" si="45"/>
        <v>2300.6360569250232</v>
      </c>
      <c r="N37" s="74">
        <f t="shared" si="45"/>
        <v>2660.7085973925846</v>
      </c>
      <c r="O37" s="74">
        <f t="shared" si="45"/>
        <v>3041.1724831902393</v>
      </c>
      <c r="P37" s="74">
        <f t="shared" si="45"/>
        <v>3456.5605534926867</v>
      </c>
      <c r="Q37" s="74">
        <f t="shared" si="45"/>
        <v>3897.6442373139494</v>
      </c>
      <c r="R37" s="74">
        <f t="shared" si="45"/>
        <v>4365.7257007920944</v>
      </c>
      <c r="S37" s="74">
        <f t="shared" si="45"/>
        <v>4862.1672261736639</v>
      </c>
      <c r="T37" s="74">
        <f t="shared" si="45"/>
        <v>5295.8393400270061</v>
      </c>
      <c r="U37" s="74">
        <f t="shared" si="45"/>
        <v>5743.3892842384057</v>
      </c>
      <c r="V37" s="74">
        <f t="shared" si="45"/>
        <v>5845.4531494335652</v>
      </c>
      <c r="W37" s="74">
        <f t="shared" si="45"/>
        <v>5949.3307577102123</v>
      </c>
      <c r="X37" s="74">
        <f t="shared" si="45"/>
        <v>6045.1546506379709</v>
      </c>
      <c r="Y37" s="74">
        <f t="shared" si="45"/>
        <v>6142.5219471567871</v>
      </c>
      <c r="Z37" s="74">
        <f t="shared" si="45"/>
        <v>6241.4575063552638</v>
      </c>
      <c r="AA37" s="74">
        <f t="shared" si="45"/>
        <v>6341.9865877190878</v>
      </c>
      <c r="AC37" s="74">
        <f t="shared" ref="AC37:AH37" si="46">SUM(AC33:AC36)</f>
        <v>43.476809774472649</v>
      </c>
      <c r="AD37" s="74">
        <f t="shared" si="46"/>
        <v>4805.5719457649066</v>
      </c>
      <c r="AE37" s="74">
        <f t="shared" si="46"/>
        <v>9962.5816843589346</v>
      </c>
      <c r="AF37" s="74">
        <f t="shared" si="46"/>
        <v>16582.097717772394</v>
      </c>
      <c r="AG37" s="74">
        <f t="shared" si="46"/>
        <v>22834.012531409189</v>
      </c>
      <c r="AH37" s="74">
        <f t="shared" si="46"/>
        <v>24771.12069186911</v>
      </c>
    </row>
    <row r="41" spans="1:34">
      <c r="B41" s="11"/>
      <c r="T41" s="76"/>
      <c r="U41" s="76"/>
      <c r="V41" s="76"/>
      <c r="W41" s="76"/>
      <c r="X41" s="76"/>
      <c r="Y41" s="76"/>
      <c r="Z41" s="76"/>
      <c r="AA41" s="76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outlinePr summaryBelow="0"/>
  </sheetPr>
  <dimension ref="A2:AH96"/>
  <sheetViews>
    <sheetView zoomScale="85" workbookViewId="0">
      <pane xSplit="2" ySplit="6" topLeftCell="C62" activePane="bottomRight" state="frozen"/>
      <selection activeCell="AH59" sqref="AH59"/>
      <selection pane="topRight"/>
      <selection pane="bottomLeft"/>
      <selection pane="bottomRight" activeCell="E43" sqref="E43"/>
    </sheetView>
  </sheetViews>
  <sheetFormatPr defaultColWidth="9.109375" defaultRowHeight="13.2"/>
  <cols>
    <col min="1" max="1" width="42.88671875" style="11" customWidth="1"/>
    <col min="2" max="2" width="11.44140625" style="12" customWidth="1"/>
    <col min="3" max="3" width="14.33203125" style="11" customWidth="1"/>
    <col min="4" max="15" width="11.44140625" style="11" customWidth="1"/>
    <col min="16" max="27" width="10.5546875" style="13" bestFit="1" customWidth="1"/>
    <col min="28" max="28" width="9.109375" style="11"/>
    <col min="29" max="34" width="10.5546875" style="13" bestFit="1" customWidth="1"/>
    <col min="35" max="16384" width="9.109375" style="11"/>
  </cols>
  <sheetData>
    <row r="2" spans="1:34">
      <c r="A2" s="60" t="str">
        <f>'Титульный лист'!$B$2</f>
        <v>Бизнес-план проекта Indoor Air Technologies</v>
      </c>
      <c r="B2" s="77"/>
      <c r="C2" s="16"/>
    </row>
    <row r="3" spans="1:34">
      <c r="G3" s="78">
        <v>2014</v>
      </c>
      <c r="H3" s="78"/>
      <c r="I3" s="78"/>
      <c r="J3" s="78"/>
      <c r="K3" s="78">
        <f>G3+1</f>
        <v>2015</v>
      </c>
      <c r="L3" s="78"/>
      <c r="M3" s="78"/>
      <c r="N3" s="78"/>
      <c r="O3" s="78">
        <f t="shared" ref="O3:AA3" si="0">K3+1</f>
        <v>2016</v>
      </c>
      <c r="P3" s="78"/>
      <c r="Q3" s="78"/>
      <c r="R3" s="78"/>
      <c r="S3" s="78">
        <f t="shared" si="0"/>
        <v>2017</v>
      </c>
      <c r="T3" s="78"/>
      <c r="U3" s="78"/>
      <c r="V3" s="78"/>
      <c r="W3" s="78">
        <f t="shared" si="0"/>
        <v>2018</v>
      </c>
      <c r="X3" s="78"/>
      <c r="Y3" s="78"/>
      <c r="Z3" s="78"/>
      <c r="AA3" s="78">
        <f t="shared" si="0"/>
        <v>2019</v>
      </c>
    </row>
    <row r="4" spans="1:34">
      <c r="A4" s="17" t="s">
        <v>124</v>
      </c>
      <c r="B4" s="15"/>
      <c r="C4" s="16"/>
      <c r="D4" s="64">
        <v>2014</v>
      </c>
      <c r="E4" s="64">
        <f>D4</f>
        <v>2014</v>
      </c>
      <c r="F4" s="64">
        <f t="shared" ref="F4:G4" si="1">E4</f>
        <v>2014</v>
      </c>
      <c r="G4" s="64">
        <f t="shared" si="1"/>
        <v>2014</v>
      </c>
      <c r="H4" s="64">
        <f>D4+1</f>
        <v>2015</v>
      </c>
      <c r="I4" s="64">
        <f t="shared" ref="I4:AA4" si="2">E4+1</f>
        <v>2015</v>
      </c>
      <c r="J4" s="64">
        <f t="shared" si="2"/>
        <v>2015</v>
      </c>
      <c r="K4" s="64">
        <f t="shared" si="2"/>
        <v>2015</v>
      </c>
      <c r="L4" s="64">
        <f t="shared" si="2"/>
        <v>2016</v>
      </c>
      <c r="M4" s="64">
        <f t="shared" si="2"/>
        <v>2016</v>
      </c>
      <c r="N4" s="64">
        <f t="shared" si="2"/>
        <v>2016</v>
      </c>
      <c r="O4" s="64">
        <f t="shared" si="2"/>
        <v>2016</v>
      </c>
      <c r="P4" s="64">
        <f t="shared" si="2"/>
        <v>2017</v>
      </c>
      <c r="Q4" s="64">
        <f t="shared" si="2"/>
        <v>2017</v>
      </c>
      <c r="R4" s="64">
        <f t="shared" si="2"/>
        <v>2017</v>
      </c>
      <c r="S4" s="64">
        <f t="shared" si="2"/>
        <v>2017</v>
      </c>
      <c r="T4" s="64">
        <f t="shared" si="2"/>
        <v>2018</v>
      </c>
      <c r="U4" s="64">
        <f t="shared" si="2"/>
        <v>2018</v>
      </c>
      <c r="V4" s="64">
        <f t="shared" si="2"/>
        <v>2018</v>
      </c>
      <c r="W4" s="64">
        <f t="shared" si="2"/>
        <v>2018</v>
      </c>
      <c r="X4" s="64">
        <f t="shared" si="2"/>
        <v>2019</v>
      </c>
      <c r="Y4" s="64">
        <f t="shared" si="2"/>
        <v>2019</v>
      </c>
      <c r="Z4" s="64">
        <f t="shared" si="2"/>
        <v>2019</v>
      </c>
      <c r="AA4" s="64">
        <f t="shared" si="2"/>
        <v>2019</v>
      </c>
      <c r="AC4" s="11"/>
      <c r="AD4" s="11"/>
      <c r="AE4" s="11"/>
      <c r="AF4" s="11"/>
      <c r="AG4" s="11"/>
      <c r="AH4" s="11"/>
    </row>
    <row r="5" spans="1:34">
      <c r="A5" s="65" t="s">
        <v>19</v>
      </c>
      <c r="B5" s="79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2014</v>
      </c>
      <c r="AD5" s="67">
        <f>AC5+1</f>
        <v>2015</v>
      </c>
      <c r="AE5" s="67">
        <f t="shared" ref="AE5:AH5" si="3">AD5+1</f>
        <v>2016</v>
      </c>
      <c r="AF5" s="67">
        <f t="shared" si="3"/>
        <v>2017</v>
      </c>
      <c r="AG5" s="67">
        <f t="shared" si="3"/>
        <v>2018</v>
      </c>
      <c r="AH5" s="67">
        <f t="shared" si="3"/>
        <v>2019</v>
      </c>
    </row>
    <row r="6" spans="1:34">
      <c r="A6" s="68" t="s">
        <v>46</v>
      </c>
      <c r="B6" s="80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>
        <f>Предположения!AC7</f>
        <v>0</v>
      </c>
      <c r="AD6" s="69">
        <f>Предположения!AD7</f>
        <v>0</v>
      </c>
      <c r="AE6" s="69">
        <f>Предположения!AE7</f>
        <v>0</v>
      </c>
      <c r="AF6" s="69">
        <f>Предположения!AF7</f>
        <v>0</v>
      </c>
      <c r="AG6" s="69">
        <f>Предположения!AG7</f>
        <v>0</v>
      </c>
      <c r="AH6" s="69">
        <f>Предположения!AH7</f>
        <v>0</v>
      </c>
    </row>
    <row r="7" spans="1:34">
      <c r="A7" s="6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C7" s="80"/>
      <c r="AD7" s="80"/>
      <c r="AE7" s="80"/>
      <c r="AF7" s="80"/>
      <c r="AG7" s="80"/>
      <c r="AH7" s="80"/>
    </row>
    <row r="8" spans="1:34">
      <c r="A8" s="68" t="s">
        <v>125</v>
      </c>
      <c r="B8" s="80" t="s">
        <v>49</v>
      </c>
      <c r="C8" s="47"/>
      <c r="D8" s="70">
        <f>Предположения!D$9</f>
        <v>3.7578249091094751E-2</v>
      </c>
      <c r="E8" s="70">
        <f>Предположения!E$9</f>
        <v>3.7578249091094751E-2</v>
      </c>
      <c r="F8" s="70">
        <f>Предположения!F$9</f>
        <v>3.7578249091094751E-2</v>
      </c>
      <c r="G8" s="70">
        <f>Предположения!G$9</f>
        <v>3.7578249091094751E-2</v>
      </c>
      <c r="H8" s="70">
        <f>Предположения!H$9</f>
        <v>2.9654632610316423E-2</v>
      </c>
      <c r="I8" s="70">
        <f>Предположения!I$9</f>
        <v>2.9654632610316423E-2</v>
      </c>
      <c r="J8" s="70">
        <f>Предположения!J$9</f>
        <v>2.9654632610316423E-2</v>
      </c>
      <c r="K8" s="70">
        <f>Предположения!K$9</f>
        <v>2.9654632610316423E-2</v>
      </c>
      <c r="L8" s="70">
        <f>Предположения!L$9</f>
        <v>3.1481888479691689E-2</v>
      </c>
      <c r="M8" s="70">
        <f>Предположения!M$9</f>
        <v>3.1481888479691689E-2</v>
      </c>
      <c r="N8" s="70">
        <f>Предположения!N$9</f>
        <v>3.1481888479691689E-2</v>
      </c>
      <c r="O8" s="70">
        <f>Предположения!O$9</f>
        <v>3.1481888479691689E-2</v>
      </c>
      <c r="P8" s="70">
        <f>Предположения!P$9</f>
        <v>3.5558076341622114E-2</v>
      </c>
      <c r="Q8" s="70">
        <f>Предположения!Q$9</f>
        <v>3.5558076341622114E-2</v>
      </c>
      <c r="R8" s="70">
        <f>Предположения!R$9</f>
        <v>3.5558076341622114E-2</v>
      </c>
      <c r="S8" s="70">
        <f>Предположения!S$9</f>
        <v>3.5558076341622114E-2</v>
      </c>
      <c r="T8" s="70">
        <f>Предположения!T$9</f>
        <v>1.7770668179371674E-2</v>
      </c>
      <c r="U8" s="70">
        <f>Предположения!U$9</f>
        <v>1.7770668179371674E-2</v>
      </c>
      <c r="V8" s="70">
        <f>Предположения!V$9</f>
        <v>1.7770668179371674E-2</v>
      </c>
      <c r="W8" s="70">
        <f>Предположения!W$9</f>
        <v>1.7770668179371674E-2</v>
      </c>
      <c r="X8" s="70">
        <f>Предположения!X$9</f>
        <v>1.6106667595102708E-2</v>
      </c>
      <c r="Y8" s="70">
        <f>Предположения!Y$9</f>
        <v>1.6106667595102708E-2</v>
      </c>
      <c r="Z8" s="70">
        <f>Предположения!Z$9</f>
        <v>1.6106667595102708E-2</v>
      </c>
      <c r="AA8" s="70">
        <f>Предположения!AA$9</f>
        <v>1.6106667595102708E-2</v>
      </c>
      <c r="AC8" s="70"/>
      <c r="AD8" s="70"/>
      <c r="AE8" s="70"/>
      <c r="AF8" s="70"/>
      <c r="AG8" s="70"/>
      <c r="AH8" s="70"/>
    </row>
    <row r="9" spans="1:34">
      <c r="A9" s="68" t="s">
        <v>126</v>
      </c>
      <c r="B9" s="80"/>
      <c r="C9" s="80"/>
      <c r="D9" s="70">
        <f>D8</f>
        <v>3.7578249091094751E-2</v>
      </c>
      <c r="E9" s="70">
        <f>(D9+1)*(1+E8)-1</f>
        <v>7.6568622986941781E-2</v>
      </c>
      <c r="F9" s="70">
        <f t="shared" ref="F9:AA9" si="4">(E9+1)*(1+F8)-1</f>
        <v>0.117024186865202</v>
      </c>
      <c r="G9" s="70">
        <f t="shared" si="4"/>
        <v>0.15900000000000003</v>
      </c>
      <c r="H9" s="70">
        <f t="shared" si="4"/>
        <v>0.19336971919535673</v>
      </c>
      <c r="I9" s="70">
        <f t="shared" si="4"/>
        <v>0.22875865978637155</v>
      </c>
      <c r="J9" s="70">
        <f t="shared" si="4"/>
        <v>0.26519704640908115</v>
      </c>
      <c r="K9" s="70">
        <f t="shared" si="4"/>
        <v>0.30271599999999999</v>
      </c>
      <c r="L9" s="70">
        <f t="shared" si="4"/>
        <v>0.34372795983271009</v>
      </c>
      <c r="M9" s="70">
        <f t="shared" si="4"/>
        <v>0.38603105361120704</v>
      </c>
      <c r="N9" s="70">
        <f t="shared" si="4"/>
        <v>0.42966592867038456</v>
      </c>
      <c r="O9" s="70">
        <f t="shared" si="4"/>
        <v>0.47467451200000044</v>
      </c>
      <c r="P9" s="70">
        <f t="shared" si="4"/>
        <v>0.52711110087674085</v>
      </c>
      <c r="Q9" s="70">
        <f t="shared" si="4"/>
        <v>0.58141223398385455</v>
      </c>
      <c r="R9" s="70">
        <f t="shared" si="4"/>
        <v>0.63764421092742762</v>
      </c>
      <c r="S9" s="70">
        <f t="shared" si="4"/>
        <v>0.69587568880000061</v>
      </c>
      <c r="T9" s="70">
        <f t="shared" si="4"/>
        <v>0.72601253293912871</v>
      </c>
      <c r="U9" s="70">
        <f t="shared" si="4"/>
        <v>0.75668492893542671</v>
      </c>
      <c r="V9" s="70">
        <f t="shared" si="4"/>
        <v>0.78790239390324124</v>
      </c>
      <c r="W9" s="70">
        <f t="shared" si="4"/>
        <v>0.81967461408240005</v>
      </c>
      <c r="X9" s="70">
        <f t="shared" si="4"/>
        <v>0.84898350822267199</v>
      </c>
      <c r="Y9" s="70">
        <f t="shared" si="4"/>
        <v>0.87876447097844146</v>
      </c>
      <c r="Z9" s="70">
        <f t="shared" si="4"/>
        <v>0.90902510580198026</v>
      </c>
      <c r="AA9" s="70">
        <f t="shared" si="4"/>
        <v>0.93977313861183864</v>
      </c>
      <c r="AC9" s="70"/>
      <c r="AD9" s="70"/>
      <c r="AE9" s="70"/>
      <c r="AF9" s="70"/>
      <c r="AG9" s="70"/>
      <c r="AH9" s="70"/>
    </row>
    <row r="10" spans="1:34">
      <c r="A10" s="68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C10" s="80"/>
      <c r="AD10" s="80"/>
      <c r="AE10" s="80"/>
      <c r="AF10" s="80"/>
      <c r="AG10" s="80"/>
      <c r="AH10" s="80"/>
    </row>
    <row r="11" spans="1:34">
      <c r="A11" s="71" t="s">
        <v>127</v>
      </c>
      <c r="B11" s="7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C11" s="21"/>
      <c r="AD11" s="21"/>
      <c r="AE11" s="21"/>
      <c r="AF11" s="21"/>
      <c r="AG11" s="21"/>
      <c r="AH11" s="21"/>
    </row>
    <row r="12" spans="1:34">
      <c r="A12" s="81" t="s">
        <v>128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C12" s="82"/>
      <c r="AD12" s="82"/>
      <c r="AE12" s="82"/>
      <c r="AF12" s="82"/>
      <c r="AG12" s="82"/>
      <c r="AH12" s="82"/>
    </row>
    <row r="13" spans="1:34">
      <c r="A13" s="38" t="s">
        <v>129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C13" s="40"/>
      <c r="AD13" s="40"/>
      <c r="AE13" s="40"/>
      <c r="AF13" s="40"/>
      <c r="AG13" s="40"/>
      <c r="AH13" s="40"/>
    </row>
    <row r="14" spans="1:34">
      <c r="A14" s="42" t="str">
        <f>Предположения!A26</f>
        <v>Приточный клапан</v>
      </c>
      <c r="B14" s="39" t="s">
        <v>66</v>
      </c>
      <c r="C14" s="40"/>
      <c r="D14" s="40">
        <f>Выручка!D18</f>
        <v>0</v>
      </c>
      <c r="E14" s="40">
        <f>Выручка!E18</f>
        <v>0</v>
      </c>
      <c r="F14" s="40">
        <f>Выручка!F18</f>
        <v>25</v>
      </c>
      <c r="G14" s="40">
        <f>Выручка!G18</f>
        <v>0</v>
      </c>
      <c r="H14" s="40">
        <f>Выручка!H18</f>
        <v>210</v>
      </c>
      <c r="I14" s="40">
        <f>Выручка!I18</f>
        <v>274.61538461538464</v>
      </c>
      <c r="J14" s="40">
        <f>Выручка!J18</f>
        <v>339.23076923076923</v>
      </c>
      <c r="K14" s="40">
        <f>Выручка!K18</f>
        <v>403.84615384615387</v>
      </c>
      <c r="L14" s="40">
        <f>Выручка!L18</f>
        <v>468.46153846153851</v>
      </c>
      <c r="M14" s="40">
        <f>Выручка!M18</f>
        <v>533.07692307692309</v>
      </c>
      <c r="N14" s="40">
        <f>Выручка!N18</f>
        <v>597.69230769230762</v>
      </c>
      <c r="O14" s="40">
        <f>Выручка!O18</f>
        <v>662.30769230769226</v>
      </c>
      <c r="P14" s="40">
        <f>Выручка!P18</f>
        <v>726.92307692307691</v>
      </c>
      <c r="Q14" s="40">
        <f>Выручка!Q18</f>
        <v>791.53846153846155</v>
      </c>
      <c r="R14" s="40">
        <f>Выручка!R18</f>
        <v>856.15384615384619</v>
      </c>
      <c r="S14" s="40">
        <f>Выручка!S18</f>
        <v>920.76923076923072</v>
      </c>
      <c r="T14" s="40">
        <f>Выручка!T18</f>
        <v>985.38461538461536</v>
      </c>
      <c r="U14" s="40">
        <f>Выручка!U18</f>
        <v>1050</v>
      </c>
      <c r="V14" s="40">
        <f>Выручка!V18</f>
        <v>1050</v>
      </c>
      <c r="W14" s="40">
        <f>Выручка!W18</f>
        <v>1050</v>
      </c>
      <c r="X14" s="40">
        <f>Выручка!X18</f>
        <v>1050</v>
      </c>
      <c r="Y14" s="40">
        <f>Выручка!Y18</f>
        <v>1050</v>
      </c>
      <c r="Z14" s="40">
        <f>Выручка!Z18</f>
        <v>1050</v>
      </c>
      <c r="AA14" s="40">
        <f>Выручка!AA18</f>
        <v>1050</v>
      </c>
      <c r="AC14" s="40">
        <f t="shared" ref="AC14:AC17" si="5">SUMIF($D$4:$AA$4,AC$5,$D14:$AA14)</f>
        <v>25</v>
      </c>
      <c r="AD14" s="40">
        <f t="shared" ref="AD14:AH17" si="6">SUMIF($D$4:$AA$4,AD$5,$D14:$AA14)</f>
        <v>1227.6923076923076</v>
      </c>
      <c r="AE14" s="40">
        <f t="shared" si="6"/>
        <v>2261.5384615384614</v>
      </c>
      <c r="AF14" s="40">
        <f t="shared" si="6"/>
        <v>3295.3846153846152</v>
      </c>
      <c r="AG14" s="40">
        <f t="shared" si="6"/>
        <v>4135.3846153846152</v>
      </c>
      <c r="AH14" s="40">
        <f t="shared" si="6"/>
        <v>4200</v>
      </c>
    </row>
    <row r="15" spans="1:34">
      <c r="A15" s="42">
        <f>Предположения!A27</f>
        <v>0</v>
      </c>
      <c r="B15" s="39" t="s">
        <v>66</v>
      </c>
      <c r="C15" s="40"/>
      <c r="D15" s="40">
        <f>Выручка!D19</f>
        <v>0</v>
      </c>
      <c r="E15" s="40">
        <f>Выручка!E19</f>
        <v>0</v>
      </c>
      <c r="F15" s="40">
        <f>Выручка!F19</f>
        <v>25</v>
      </c>
      <c r="G15" s="40">
        <f>Выручка!G19</f>
        <v>0</v>
      </c>
      <c r="H15" s="40">
        <f>Выручка!H19</f>
        <v>0</v>
      </c>
      <c r="I15" s="40">
        <f>Выручка!I19</f>
        <v>0</v>
      </c>
      <c r="J15" s="40">
        <f>Выручка!J19</f>
        <v>0</v>
      </c>
      <c r="K15" s="40">
        <f>Выручка!K19</f>
        <v>0</v>
      </c>
      <c r="L15" s="40">
        <f>Выручка!L19</f>
        <v>0</v>
      </c>
      <c r="M15" s="40">
        <f>Выручка!M19</f>
        <v>0</v>
      </c>
      <c r="N15" s="40">
        <f>Выручка!N19</f>
        <v>0</v>
      </c>
      <c r="O15" s="40">
        <f>Выручка!O19</f>
        <v>0</v>
      </c>
      <c r="P15" s="40">
        <f>Выручка!P19</f>
        <v>0</v>
      </c>
      <c r="Q15" s="40">
        <f>Выручка!Q19</f>
        <v>0</v>
      </c>
      <c r="R15" s="40">
        <f>Выручка!R19</f>
        <v>0</v>
      </c>
      <c r="S15" s="40">
        <f>Выручка!S19</f>
        <v>0</v>
      </c>
      <c r="T15" s="40">
        <f>Выручка!T19</f>
        <v>0</v>
      </c>
      <c r="U15" s="40">
        <f>Выручка!U19</f>
        <v>0</v>
      </c>
      <c r="V15" s="40">
        <f>Выручка!V19</f>
        <v>0</v>
      </c>
      <c r="W15" s="40">
        <f>Выручка!W19</f>
        <v>0</v>
      </c>
      <c r="X15" s="40">
        <f>Выручка!X19</f>
        <v>0</v>
      </c>
      <c r="Y15" s="40">
        <f>Выручка!Y19</f>
        <v>0</v>
      </c>
      <c r="Z15" s="40">
        <f>Выручка!Z19</f>
        <v>0</v>
      </c>
      <c r="AA15" s="40">
        <f>Выручка!AA19</f>
        <v>0</v>
      </c>
      <c r="AC15" s="40">
        <f t="shared" si="5"/>
        <v>25</v>
      </c>
      <c r="AD15" s="40">
        <f t="shared" si="6"/>
        <v>0</v>
      </c>
      <c r="AE15" s="40">
        <f t="shared" si="6"/>
        <v>0</v>
      </c>
      <c r="AF15" s="40">
        <f t="shared" si="6"/>
        <v>0</v>
      </c>
      <c r="AG15" s="40">
        <f t="shared" si="6"/>
        <v>0</v>
      </c>
      <c r="AH15" s="40">
        <f t="shared" si="6"/>
        <v>0</v>
      </c>
    </row>
    <row r="16" spans="1:34">
      <c r="A16" s="42">
        <f>Предположения!A28</f>
        <v>0</v>
      </c>
      <c r="B16" s="39" t="s">
        <v>66</v>
      </c>
      <c r="C16" s="40"/>
      <c r="D16" s="40">
        <f>Выручка!D20</f>
        <v>0</v>
      </c>
      <c r="E16" s="40">
        <f>Выручка!E20</f>
        <v>0</v>
      </c>
      <c r="F16" s="40">
        <f>Выручка!F20</f>
        <v>25</v>
      </c>
      <c r="G16" s="40">
        <f>Выручка!G20</f>
        <v>0</v>
      </c>
      <c r="H16" s="40">
        <f>Выручка!H20</f>
        <v>0</v>
      </c>
      <c r="I16" s="40">
        <f>Выручка!I20</f>
        <v>0</v>
      </c>
      <c r="J16" s="40">
        <f>Выручка!J20</f>
        <v>0</v>
      </c>
      <c r="K16" s="40">
        <f>Выручка!K20</f>
        <v>0</v>
      </c>
      <c r="L16" s="40">
        <f>Выручка!L20</f>
        <v>0</v>
      </c>
      <c r="M16" s="40">
        <f>Выручка!M20</f>
        <v>0</v>
      </c>
      <c r="N16" s="40">
        <f>Выручка!N20</f>
        <v>0</v>
      </c>
      <c r="O16" s="40">
        <f>Выручка!O20</f>
        <v>0</v>
      </c>
      <c r="P16" s="40">
        <f>Выручка!P20</f>
        <v>0</v>
      </c>
      <c r="Q16" s="40">
        <f>Выручка!Q20</f>
        <v>0</v>
      </c>
      <c r="R16" s="40">
        <f>Выручка!R20</f>
        <v>0</v>
      </c>
      <c r="S16" s="40">
        <f>Выручка!S20</f>
        <v>0</v>
      </c>
      <c r="T16" s="40">
        <f>Выручка!T20</f>
        <v>0</v>
      </c>
      <c r="U16" s="40">
        <f>Выручка!U20</f>
        <v>0</v>
      </c>
      <c r="V16" s="40">
        <f>Выручка!V20</f>
        <v>0</v>
      </c>
      <c r="W16" s="40">
        <f>Выручка!W20</f>
        <v>0</v>
      </c>
      <c r="X16" s="40">
        <f>Выручка!X20</f>
        <v>0</v>
      </c>
      <c r="Y16" s="40">
        <f>Выручка!Y20</f>
        <v>0</v>
      </c>
      <c r="Z16" s="40">
        <f>Выручка!Z20</f>
        <v>0</v>
      </c>
      <c r="AA16" s="40">
        <f>Выручка!AA20</f>
        <v>0</v>
      </c>
      <c r="AC16" s="40">
        <f t="shared" si="5"/>
        <v>25</v>
      </c>
      <c r="AD16" s="40">
        <f t="shared" si="6"/>
        <v>0</v>
      </c>
      <c r="AE16" s="40">
        <f t="shared" si="6"/>
        <v>0</v>
      </c>
      <c r="AF16" s="40">
        <f t="shared" si="6"/>
        <v>0</v>
      </c>
      <c r="AG16" s="40">
        <f t="shared" si="6"/>
        <v>0</v>
      </c>
      <c r="AH16" s="40">
        <f t="shared" si="6"/>
        <v>0</v>
      </c>
    </row>
    <row r="17" spans="1:34">
      <c r="A17" s="42">
        <f>Предположения!A29</f>
        <v>0</v>
      </c>
      <c r="B17" s="39" t="s">
        <v>66</v>
      </c>
      <c r="C17" s="40"/>
      <c r="D17" s="40">
        <f>Выручка!D21</f>
        <v>0</v>
      </c>
      <c r="E17" s="40">
        <f>Выручка!E21</f>
        <v>0</v>
      </c>
      <c r="F17" s="40">
        <f>Выручка!F21</f>
        <v>25</v>
      </c>
      <c r="G17" s="40">
        <f>Выручка!G21</f>
        <v>0</v>
      </c>
      <c r="H17" s="40">
        <f>Выручка!H21</f>
        <v>0</v>
      </c>
      <c r="I17" s="40">
        <f>Выручка!I21</f>
        <v>0</v>
      </c>
      <c r="J17" s="40">
        <f>Выручка!J21</f>
        <v>0</v>
      </c>
      <c r="K17" s="40">
        <f>Выручка!K21</f>
        <v>0</v>
      </c>
      <c r="L17" s="40">
        <f>Выручка!L21</f>
        <v>0</v>
      </c>
      <c r="M17" s="40">
        <f>Выручка!M21</f>
        <v>0</v>
      </c>
      <c r="N17" s="40">
        <f>Выручка!N21</f>
        <v>0</v>
      </c>
      <c r="O17" s="40">
        <f>Выручка!O21</f>
        <v>0</v>
      </c>
      <c r="P17" s="40">
        <f>Выручка!P21</f>
        <v>0</v>
      </c>
      <c r="Q17" s="40">
        <f>Выручка!Q21</f>
        <v>0</v>
      </c>
      <c r="R17" s="40">
        <f>Выручка!R21</f>
        <v>0</v>
      </c>
      <c r="S17" s="40">
        <f>Выручка!S21</f>
        <v>0</v>
      </c>
      <c r="T17" s="40">
        <f>Выручка!T21</f>
        <v>0</v>
      </c>
      <c r="U17" s="40">
        <f>Выручка!U21</f>
        <v>0</v>
      </c>
      <c r="V17" s="40">
        <f>Выручка!V21</f>
        <v>0</v>
      </c>
      <c r="W17" s="40">
        <f>Выручка!W21</f>
        <v>0</v>
      </c>
      <c r="X17" s="40">
        <f>Выручка!X21</f>
        <v>0</v>
      </c>
      <c r="Y17" s="40">
        <f>Выручка!Y21</f>
        <v>0</v>
      </c>
      <c r="Z17" s="40">
        <f>Выручка!Z21</f>
        <v>0</v>
      </c>
      <c r="AA17" s="40">
        <f>Выручка!AA21</f>
        <v>0</v>
      </c>
      <c r="AC17" s="40">
        <f t="shared" si="5"/>
        <v>25</v>
      </c>
      <c r="AD17" s="40">
        <f t="shared" si="6"/>
        <v>0</v>
      </c>
      <c r="AE17" s="40">
        <f t="shared" si="6"/>
        <v>0</v>
      </c>
      <c r="AF17" s="40">
        <f t="shared" si="6"/>
        <v>0</v>
      </c>
      <c r="AG17" s="40">
        <f t="shared" si="6"/>
        <v>0</v>
      </c>
      <c r="AH17" s="40">
        <f t="shared" si="6"/>
        <v>0</v>
      </c>
    </row>
    <row r="18" spans="1:34">
      <c r="A18" s="73" t="s">
        <v>130</v>
      </c>
      <c r="B18" s="73" t="s">
        <v>66</v>
      </c>
      <c r="C18" s="74"/>
      <c r="D18" s="74">
        <f>SUM(D14:D17)</f>
        <v>0</v>
      </c>
      <c r="E18" s="74">
        <f t="shared" ref="E18:W18" si="7">SUM(E14:E17)</f>
        <v>0</v>
      </c>
      <c r="F18" s="74">
        <f t="shared" si="7"/>
        <v>100</v>
      </c>
      <c r="G18" s="74">
        <f t="shared" si="7"/>
        <v>0</v>
      </c>
      <c r="H18" s="74">
        <f t="shared" si="7"/>
        <v>210</v>
      </c>
      <c r="I18" s="74">
        <f t="shared" si="7"/>
        <v>274.61538461538464</v>
      </c>
      <c r="J18" s="74">
        <f t="shared" si="7"/>
        <v>339.23076923076923</v>
      </c>
      <c r="K18" s="74">
        <f t="shared" si="7"/>
        <v>403.84615384615387</v>
      </c>
      <c r="L18" s="74">
        <f t="shared" si="7"/>
        <v>468.46153846153851</v>
      </c>
      <c r="M18" s="74">
        <f t="shared" si="7"/>
        <v>533.07692307692309</v>
      </c>
      <c r="N18" s="74">
        <f t="shared" si="7"/>
        <v>597.69230769230762</v>
      </c>
      <c r="O18" s="74">
        <f t="shared" si="7"/>
        <v>662.30769230769226</v>
      </c>
      <c r="P18" s="74">
        <f t="shared" si="7"/>
        <v>726.92307692307691</v>
      </c>
      <c r="Q18" s="74">
        <f t="shared" si="7"/>
        <v>791.53846153846155</v>
      </c>
      <c r="R18" s="74">
        <f t="shared" si="7"/>
        <v>856.15384615384619</v>
      </c>
      <c r="S18" s="74">
        <f t="shared" si="7"/>
        <v>920.76923076923072</v>
      </c>
      <c r="T18" s="74">
        <f t="shared" si="7"/>
        <v>985.38461538461536</v>
      </c>
      <c r="U18" s="74">
        <f t="shared" si="7"/>
        <v>1050</v>
      </c>
      <c r="V18" s="74">
        <f t="shared" si="7"/>
        <v>1050</v>
      </c>
      <c r="W18" s="74">
        <f t="shared" si="7"/>
        <v>1050</v>
      </c>
      <c r="X18" s="74">
        <f t="shared" ref="X18:AA18" si="8">SUM(X14:X17)</f>
        <v>1050</v>
      </c>
      <c r="Y18" s="74">
        <f t="shared" si="8"/>
        <v>1050</v>
      </c>
      <c r="Z18" s="74">
        <f t="shared" si="8"/>
        <v>1050</v>
      </c>
      <c r="AA18" s="74">
        <f t="shared" si="8"/>
        <v>1050</v>
      </c>
      <c r="AC18" s="74">
        <f t="shared" ref="AC18:AH18" si="9">SUM(AC14:AC17)</f>
        <v>100</v>
      </c>
      <c r="AD18" s="74">
        <f t="shared" si="9"/>
        <v>1227.6923076923076</v>
      </c>
      <c r="AE18" s="74">
        <f t="shared" si="9"/>
        <v>2261.5384615384614</v>
      </c>
      <c r="AF18" s="74">
        <f t="shared" si="9"/>
        <v>3295.3846153846152</v>
      </c>
      <c r="AG18" s="74">
        <f t="shared" si="9"/>
        <v>4135.3846153846152</v>
      </c>
      <c r="AH18" s="74">
        <f t="shared" si="9"/>
        <v>4200</v>
      </c>
    </row>
    <row r="19" spans="1:34">
      <c r="A19" s="42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C19" s="40"/>
      <c r="AD19" s="40"/>
      <c r="AE19" s="40"/>
      <c r="AF19" s="40"/>
      <c r="AG19" s="40"/>
      <c r="AH19" s="40"/>
    </row>
    <row r="20" spans="1:34">
      <c r="A20" s="38" t="s">
        <v>131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C20" s="40"/>
      <c r="AD20" s="40"/>
      <c r="AE20" s="40"/>
      <c r="AF20" s="40"/>
      <c r="AG20" s="40"/>
      <c r="AH20" s="40"/>
    </row>
    <row r="21" spans="1:34">
      <c r="A21" s="42" t="str">
        <f>Предположения!A26</f>
        <v>Приточный клапан</v>
      </c>
      <c r="B21" s="39" t="s">
        <v>69</v>
      </c>
      <c r="C21" s="40"/>
      <c r="D21" s="40">
        <f>SUM(D22:D23)</f>
        <v>1453.8461538461538</v>
      </c>
      <c r="E21" s="40">
        <f t="shared" ref="E21:W21" si="10">SUM(E22:E23)</f>
        <v>1508.4791467555146</v>
      </c>
      <c r="F21" s="40">
        <f t="shared" si="10"/>
        <v>1565.1651518810154</v>
      </c>
      <c r="G21" s="40">
        <f t="shared" si="10"/>
        <v>1623.9813178271015</v>
      </c>
      <c r="H21" s="40">
        <f t="shared" si="10"/>
        <v>1672.1398871732817</v>
      </c>
      <c r="I21" s="40">
        <f t="shared" si="10"/>
        <v>1721.7265812004612</v>
      </c>
      <c r="J21" s="40">
        <f t="shared" si="10"/>
        <v>1772.7837504213771</v>
      </c>
      <c r="K21" s="40">
        <f t="shared" si="10"/>
        <v>1825.3550012376618</v>
      </c>
      <c r="L21" s="40">
        <f t="shared" si="10"/>
        <v>1882.8206238224734</v>
      </c>
      <c r="M21" s="40">
        <f t="shared" si="10"/>
        <v>1942.0953727289161</v>
      </c>
      <c r="N21" s="40">
        <f t="shared" si="10"/>
        <v>2003.2362026700935</v>
      </c>
      <c r="O21" s="40">
        <f t="shared" si="10"/>
        <v>2066.3018614010343</v>
      </c>
      <c r="P21" s="40">
        <f t="shared" si="10"/>
        <v>2139.7755807335684</v>
      </c>
      <c r="Q21" s="40">
        <f t="shared" si="10"/>
        <v>2215.8618841872312</v>
      </c>
      <c r="R21" s="40">
        <f t="shared" si="10"/>
        <v>2294.6536702276517</v>
      </c>
      <c r="S21" s="40">
        <f t="shared" si="10"/>
        <v>2376.2471406111899</v>
      </c>
      <c r="T21" s="40">
        <f t="shared" si="10"/>
        <v>2418.4746400591721</v>
      </c>
      <c r="U21" s="40">
        <f t="shared" si="10"/>
        <v>2461.452550387889</v>
      </c>
      <c r="V21" s="40">
        <f t="shared" si="10"/>
        <v>2505.1942069001002</v>
      </c>
      <c r="W21" s="40">
        <f t="shared" si="10"/>
        <v>2549.7131818758062</v>
      </c>
      <c r="X21" s="40">
        <f t="shared" ref="X21:AA21" si="11">SUM(X22:X23)</f>
        <v>2590.7805645591316</v>
      </c>
      <c r="Y21" s="40">
        <f t="shared" si="11"/>
        <v>2632.5094059243379</v>
      </c>
      <c r="Z21" s="40">
        <f t="shared" si="11"/>
        <v>2674.9103598665424</v>
      </c>
      <c r="AA21" s="40">
        <f t="shared" si="11"/>
        <v>2717.9942518796097</v>
      </c>
      <c r="AC21" s="40">
        <f t="shared" ref="AC21:AH21" si="12">AC36/AC14*1000</f>
        <v>1565.1651518810152</v>
      </c>
      <c r="AD21" s="40">
        <f t="shared" si="12"/>
        <v>1761.4408447822498</v>
      </c>
      <c r="AE21" s="40">
        <f t="shared" si="12"/>
        <v>1982.35043719387</v>
      </c>
      <c r="AF21" s="40">
        <f t="shared" si="12"/>
        <v>2264.3620833092564</v>
      </c>
      <c r="AG21" s="40">
        <f t="shared" si="12"/>
        <v>2484.7279261299072</v>
      </c>
      <c r="AH21" s="40">
        <f t="shared" si="12"/>
        <v>2654.0486455574051</v>
      </c>
    </row>
    <row r="22" spans="1:34">
      <c r="A22" s="48" t="s">
        <v>74</v>
      </c>
      <c r="B22" s="49" t="s">
        <v>69</v>
      </c>
      <c r="D22" s="83">
        <f>Предположения!C42/(1+Предположения!D$14)</f>
        <v>923.07692307692309</v>
      </c>
      <c r="E22" s="83">
        <f t="shared" ref="E22:E23" si="13">D22*(1+E$8)</f>
        <v>957.76453762254903</v>
      </c>
      <c r="F22" s="83">
        <f t="shared" ref="F22:F23" si="14">E22*(1+F$8)</f>
        <v>993.75565198794641</v>
      </c>
      <c r="G22" s="83">
        <f t="shared" ref="G22:G23" si="15">F22*(1+G$8)</f>
        <v>1031.0992494140328</v>
      </c>
      <c r="H22" s="83">
        <f t="shared" ref="H22:H23" si="16">G22*(1+H$8)</f>
        <v>1061.676118840179</v>
      </c>
      <c r="I22" s="83">
        <f t="shared" ref="I22:I23" si="17">H22*(1+I$8)</f>
        <v>1093.1597340955311</v>
      </c>
      <c r="J22" s="83">
        <f t="shared" ref="J22:J23" si="18">I22*(1+J$8)</f>
        <v>1125.5769843945252</v>
      </c>
      <c r="K22" s="83">
        <f t="shared" ref="K22:K23" si="19">J22*(1+K$8)</f>
        <v>1158.9555563413728</v>
      </c>
      <c r="L22" s="83">
        <f t="shared" ref="L22:L23" si="20">K22*(1+L$8)</f>
        <v>1195.441665919031</v>
      </c>
      <c r="M22" s="83">
        <f t="shared" ref="M22:M23" si="21">L22*(1+M$8)</f>
        <v>1233.0764271294709</v>
      </c>
      <c r="N22" s="83">
        <f t="shared" ref="N22:N23" si="22">M22*(1+N$8)</f>
        <v>1271.8960016952976</v>
      </c>
      <c r="O22" s="83">
        <f t="shared" ref="O22:O23" si="23">N22*(1+O$8)</f>
        <v>1311.9376897784348</v>
      </c>
      <c r="P22" s="83">
        <f t="shared" ref="P22:P23" si="24">O22*(1+P$8)</f>
        <v>1358.5876703070278</v>
      </c>
      <c r="Q22" s="83">
        <f t="shared" ref="Q22:Q23" si="25">P22*(1+Q$8)</f>
        <v>1406.8964344045917</v>
      </c>
      <c r="R22" s="83">
        <f t="shared" ref="R22:R23" si="26">Q22*(1+R$8)</f>
        <v>1456.9229652239062</v>
      </c>
      <c r="S22" s="83">
        <f t="shared" ref="S22:S23" si="27">R22*(1+S$8)</f>
        <v>1508.7283432452002</v>
      </c>
      <c r="T22" s="83">
        <f t="shared" ref="T22:T23" si="28">S22*(1+T$8)</f>
        <v>1535.5394540058239</v>
      </c>
      <c r="U22" s="83">
        <f t="shared" ref="U22:U23" si="29">T22*(1+U$8)</f>
        <v>1562.827016119295</v>
      </c>
      <c r="V22" s="83">
        <f t="shared" ref="V22:V23" si="30">U22*(1+V$8)</f>
        <v>1590.5994964445085</v>
      </c>
      <c r="W22" s="83">
        <f t="shared" ref="W22:W23" si="31">V22*(1+W$8)</f>
        <v>1618.8655123020997</v>
      </c>
      <c r="X22" s="83">
        <f t="shared" ref="X22:X23" si="32">W22*(1+X$8)</f>
        <v>1644.9400409899251</v>
      </c>
      <c r="Y22" s="83">
        <f t="shared" ref="Y22:Y23" si="33">X22*(1+Y$8)</f>
        <v>1671.4345434440245</v>
      </c>
      <c r="Z22" s="83">
        <f t="shared" ref="Z22:Z23" si="34">Y22*(1+Z$8)</f>
        <v>1698.3557840422498</v>
      </c>
      <c r="AA22" s="83">
        <f t="shared" ref="AA22:AA23" si="35">Z22*(1+AA$8)</f>
        <v>1725.7106361140384</v>
      </c>
      <c r="AC22" s="83">
        <f t="shared" ref="AC22:AC23" si="36">AB22*(1+AC$8)</f>
        <v>0</v>
      </c>
      <c r="AD22" s="83">
        <f t="shared" ref="AD22:AD23" si="37">AC22*(1+AD$8)</f>
        <v>0</v>
      </c>
      <c r="AE22" s="83">
        <f t="shared" ref="AE22:AE23" si="38">AD22*(1+AE$8)</f>
        <v>0</v>
      </c>
      <c r="AF22" s="83">
        <f t="shared" ref="AF22:AF23" si="39">AE22*(1+AF$8)</f>
        <v>0</v>
      </c>
      <c r="AG22" s="83">
        <f t="shared" ref="AG22:AG23" si="40">AF22*(1+AG$8)</f>
        <v>0</v>
      </c>
      <c r="AH22" s="83">
        <f t="shared" ref="AH22:AH23" si="41">AG22*(1+AH$8)</f>
        <v>0</v>
      </c>
    </row>
    <row r="23" spans="1:34">
      <c r="A23" s="48" t="s">
        <v>75</v>
      </c>
      <c r="B23" s="49" t="s">
        <v>69</v>
      </c>
      <c r="D23" s="83">
        <f>Предположения!C43/(1+Предположения!D$14)</f>
        <v>530.76923076923072</v>
      </c>
      <c r="E23" s="83">
        <f t="shared" si="13"/>
        <v>550.71460913296562</v>
      </c>
      <c r="F23" s="83">
        <f t="shared" si="14"/>
        <v>571.4094998930691</v>
      </c>
      <c r="G23" s="83">
        <f t="shared" si="15"/>
        <v>592.88206841306874</v>
      </c>
      <c r="H23" s="83">
        <f t="shared" si="16"/>
        <v>610.46376833310273</v>
      </c>
      <c r="I23" s="83">
        <f t="shared" si="17"/>
        <v>628.56684710493016</v>
      </c>
      <c r="J23" s="83">
        <f t="shared" si="18"/>
        <v>647.20676602685182</v>
      </c>
      <c r="K23" s="83">
        <f t="shared" si="19"/>
        <v>666.39944489628908</v>
      </c>
      <c r="L23" s="83">
        <f t="shared" si="20"/>
        <v>687.37895790344248</v>
      </c>
      <c r="M23" s="83">
        <f t="shared" si="21"/>
        <v>709.01894559944537</v>
      </c>
      <c r="N23" s="83">
        <f t="shared" si="22"/>
        <v>731.34020097479572</v>
      </c>
      <c r="O23" s="83">
        <f t="shared" si="23"/>
        <v>754.36417162259954</v>
      </c>
      <c r="P23" s="83">
        <f t="shared" si="24"/>
        <v>781.1879104265405</v>
      </c>
      <c r="Q23" s="83">
        <f t="shared" si="25"/>
        <v>808.96544978263967</v>
      </c>
      <c r="R23" s="83">
        <f t="shared" si="26"/>
        <v>837.73070500374547</v>
      </c>
      <c r="S23" s="83">
        <f t="shared" si="27"/>
        <v>867.5187973659896</v>
      </c>
      <c r="T23" s="83">
        <f t="shared" si="28"/>
        <v>882.93518605334816</v>
      </c>
      <c r="U23" s="83">
        <f t="shared" si="29"/>
        <v>898.62553426859404</v>
      </c>
      <c r="V23" s="83">
        <f t="shared" si="30"/>
        <v>914.59471045559178</v>
      </c>
      <c r="W23" s="83">
        <f t="shared" si="31"/>
        <v>930.84766957370664</v>
      </c>
      <c r="X23" s="83">
        <f t="shared" si="32"/>
        <v>945.84052356920631</v>
      </c>
      <c r="Y23" s="83">
        <f t="shared" si="33"/>
        <v>961.07486248031341</v>
      </c>
      <c r="Z23" s="83">
        <f t="shared" si="34"/>
        <v>976.5545758242929</v>
      </c>
      <c r="AA23" s="83">
        <f t="shared" si="35"/>
        <v>992.28361576557131</v>
      </c>
      <c r="AC23" s="83">
        <f t="shared" si="36"/>
        <v>0</v>
      </c>
      <c r="AD23" s="83">
        <f t="shared" si="37"/>
        <v>0</v>
      </c>
      <c r="AE23" s="83">
        <f t="shared" si="38"/>
        <v>0</v>
      </c>
      <c r="AF23" s="83">
        <f t="shared" si="39"/>
        <v>0</v>
      </c>
      <c r="AG23" s="83">
        <f t="shared" si="40"/>
        <v>0</v>
      </c>
      <c r="AH23" s="83">
        <f t="shared" si="41"/>
        <v>0</v>
      </c>
    </row>
    <row r="24" spans="1:34">
      <c r="A24" s="42"/>
      <c r="B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C24" s="40"/>
      <c r="AD24" s="40"/>
      <c r="AE24" s="40"/>
      <c r="AF24" s="40"/>
      <c r="AG24" s="40"/>
      <c r="AH24" s="40"/>
    </row>
    <row r="25" spans="1:34">
      <c r="A25" s="48"/>
      <c r="B25" s="49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C25" s="83"/>
      <c r="AD25" s="83"/>
      <c r="AE25" s="83"/>
      <c r="AF25" s="83"/>
      <c r="AG25" s="83"/>
      <c r="AH25" s="83"/>
    </row>
    <row r="26" spans="1:34">
      <c r="A26" s="48"/>
      <c r="B26" s="49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C26" s="83"/>
      <c r="AD26" s="83"/>
      <c r="AE26" s="83"/>
      <c r="AF26" s="83"/>
      <c r="AG26" s="83"/>
      <c r="AH26" s="83"/>
    </row>
    <row r="27" spans="1:34">
      <c r="A27" s="42"/>
      <c r="B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C27" s="40"/>
      <c r="AD27" s="40"/>
      <c r="AE27" s="40"/>
      <c r="AF27" s="40"/>
      <c r="AG27" s="40"/>
      <c r="AH27" s="40"/>
    </row>
    <row r="28" spans="1:34">
      <c r="A28" s="48"/>
      <c r="B28" s="49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C28" s="83"/>
      <c r="AD28" s="83"/>
      <c r="AE28" s="83"/>
      <c r="AF28" s="83"/>
      <c r="AG28" s="83"/>
      <c r="AH28" s="83"/>
    </row>
    <row r="29" spans="1:34">
      <c r="A29" s="48"/>
      <c r="B29" s="49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C29" s="83"/>
      <c r="AD29" s="83"/>
      <c r="AE29" s="83"/>
      <c r="AF29" s="83"/>
      <c r="AG29" s="83"/>
      <c r="AH29" s="83"/>
    </row>
    <row r="30" spans="1:34">
      <c r="A30" s="42"/>
      <c r="B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C30" s="40"/>
      <c r="AD30" s="40"/>
      <c r="AE30" s="40"/>
      <c r="AF30" s="40"/>
      <c r="AG30" s="40"/>
      <c r="AH30" s="40"/>
    </row>
    <row r="31" spans="1:34">
      <c r="A31" s="48"/>
      <c r="B31" s="49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C31" s="83"/>
      <c r="AD31" s="83"/>
      <c r="AE31" s="83"/>
      <c r="AF31" s="83"/>
      <c r="AG31" s="83"/>
      <c r="AH31" s="83"/>
    </row>
    <row r="32" spans="1:34">
      <c r="A32" s="48"/>
      <c r="B32" s="49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C32" s="83"/>
      <c r="AD32" s="83"/>
      <c r="AE32" s="83"/>
      <c r="AF32" s="83"/>
      <c r="AG32" s="83"/>
      <c r="AH32" s="83"/>
    </row>
    <row r="33" spans="1:34">
      <c r="A33" s="73" t="s">
        <v>132</v>
      </c>
      <c r="B33" s="73" t="s">
        <v>69</v>
      </c>
      <c r="C33" s="74"/>
      <c r="D33" s="74"/>
      <c r="E33" s="74">
        <f t="shared" ref="E33:AA33" si="42">IFERROR((E21*E14+E24*E15+E27*E16+E30*E17)/E18,)</f>
        <v>0</v>
      </c>
      <c r="F33" s="74">
        <f t="shared" si="42"/>
        <v>391.29128797025385</v>
      </c>
      <c r="G33" s="74">
        <f t="shared" si="42"/>
        <v>0</v>
      </c>
      <c r="H33" s="74">
        <f t="shared" si="42"/>
        <v>1672.1398871732817</v>
      </c>
      <c r="I33" s="74">
        <f t="shared" si="42"/>
        <v>1721.7265812004612</v>
      </c>
      <c r="J33" s="74">
        <f t="shared" si="42"/>
        <v>1772.7837504213769</v>
      </c>
      <c r="K33" s="74">
        <f t="shared" si="42"/>
        <v>1825.3550012376618</v>
      </c>
      <c r="L33" s="74">
        <f t="shared" si="42"/>
        <v>1882.8206238224734</v>
      </c>
      <c r="M33" s="74">
        <f t="shared" si="42"/>
        <v>1942.0953727289161</v>
      </c>
      <c r="N33" s="74">
        <f t="shared" si="42"/>
        <v>2003.2362026700935</v>
      </c>
      <c r="O33" s="74">
        <f t="shared" si="42"/>
        <v>2066.3018614010343</v>
      </c>
      <c r="P33" s="74">
        <f t="shared" si="42"/>
        <v>2139.7755807335684</v>
      </c>
      <c r="Q33" s="74">
        <f t="shared" si="42"/>
        <v>2215.8618841872312</v>
      </c>
      <c r="R33" s="74">
        <f t="shared" si="42"/>
        <v>2294.6536702276517</v>
      </c>
      <c r="S33" s="74">
        <f t="shared" si="42"/>
        <v>2376.2471406111899</v>
      </c>
      <c r="T33" s="74">
        <f t="shared" si="42"/>
        <v>2418.4746400591721</v>
      </c>
      <c r="U33" s="74">
        <f t="shared" si="42"/>
        <v>2461.452550387889</v>
      </c>
      <c r="V33" s="74">
        <f t="shared" si="42"/>
        <v>2505.1942069001002</v>
      </c>
      <c r="W33" s="74">
        <f t="shared" si="42"/>
        <v>2549.7131818758062</v>
      </c>
      <c r="X33" s="74">
        <f t="shared" si="42"/>
        <v>2590.7805645591316</v>
      </c>
      <c r="Y33" s="74">
        <f t="shared" si="42"/>
        <v>2632.5094059243379</v>
      </c>
      <c r="Z33" s="74">
        <f t="shared" si="42"/>
        <v>2674.9103598665424</v>
      </c>
      <c r="AA33" s="74">
        <f t="shared" si="42"/>
        <v>2717.9942518796097</v>
      </c>
      <c r="AC33" s="74">
        <f t="shared" ref="AC33:AH33" si="43">IFERROR((AC21*AC14+AC24*AC15+AC27*AC16+AC30*AC17)/AC18,)</f>
        <v>391.29128797025373</v>
      </c>
      <c r="AD33" s="74">
        <f t="shared" si="43"/>
        <v>1761.4408447822498</v>
      </c>
      <c r="AE33" s="74">
        <f t="shared" si="43"/>
        <v>1982.35043719387</v>
      </c>
      <c r="AF33" s="74">
        <f t="shared" si="43"/>
        <v>2264.3620833092564</v>
      </c>
      <c r="AG33" s="74">
        <f t="shared" si="43"/>
        <v>2484.7279261299072</v>
      </c>
      <c r="AH33" s="74">
        <f t="shared" si="43"/>
        <v>2654.0486455574051</v>
      </c>
    </row>
    <row r="34" spans="1:34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C34" s="40"/>
      <c r="AD34" s="40"/>
      <c r="AE34" s="40"/>
      <c r="AF34" s="40"/>
      <c r="AG34" s="40"/>
      <c r="AH34" s="40"/>
    </row>
    <row r="35" spans="1:34">
      <c r="A35" s="38" t="s">
        <v>133</v>
      </c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C35" s="40"/>
      <c r="AD35" s="40"/>
      <c r="AE35" s="40"/>
      <c r="AF35" s="40"/>
      <c r="AG35" s="40"/>
      <c r="AH35" s="40"/>
    </row>
    <row r="36" spans="1:34">
      <c r="A36" s="42" t="str">
        <f>Выручка!A18</f>
        <v>XXX</v>
      </c>
      <c r="B36" s="39" t="s">
        <v>96</v>
      </c>
      <c r="C36" s="40"/>
      <c r="D36" s="40">
        <f t="shared" ref="D36:AA36" si="44">D21*D14/1000</f>
        <v>0</v>
      </c>
      <c r="E36" s="40">
        <f t="shared" si="44"/>
        <v>0</v>
      </c>
      <c r="F36" s="40">
        <f t="shared" si="44"/>
        <v>39.12912879702538</v>
      </c>
      <c r="G36" s="40">
        <f t="shared" si="44"/>
        <v>0</v>
      </c>
      <c r="H36" s="40">
        <f t="shared" si="44"/>
        <v>351.14937630638917</v>
      </c>
      <c r="I36" s="40">
        <f t="shared" si="44"/>
        <v>472.8126072988959</v>
      </c>
      <c r="J36" s="40">
        <f t="shared" si="44"/>
        <v>601.38279533525167</v>
      </c>
      <c r="K36" s="40">
        <f t="shared" si="44"/>
        <v>737.16259665367113</v>
      </c>
      <c r="L36" s="40">
        <f t="shared" si="44"/>
        <v>882.02904608298957</v>
      </c>
      <c r="M36" s="40">
        <f t="shared" si="44"/>
        <v>1035.2862256162607</v>
      </c>
      <c r="N36" s="40">
        <f t="shared" si="44"/>
        <v>1197.3188688266634</v>
      </c>
      <c r="O36" s="40">
        <f t="shared" si="44"/>
        <v>1368.5276174356081</v>
      </c>
      <c r="P36" s="40">
        <f t="shared" si="44"/>
        <v>1555.4522490717093</v>
      </c>
      <c r="Q36" s="40">
        <f t="shared" si="44"/>
        <v>1753.9399067912777</v>
      </c>
      <c r="R36" s="40">
        <f t="shared" si="44"/>
        <v>1964.5765653564433</v>
      </c>
      <c r="S36" s="40">
        <f t="shared" si="44"/>
        <v>2187.9752517781494</v>
      </c>
      <c r="T36" s="40">
        <f t="shared" si="44"/>
        <v>2383.1277030121537</v>
      </c>
      <c r="U36" s="40">
        <f t="shared" si="44"/>
        <v>2584.5251779072833</v>
      </c>
      <c r="V36" s="40">
        <f t="shared" si="44"/>
        <v>2630.4539172451055</v>
      </c>
      <c r="W36" s="40">
        <f t="shared" si="44"/>
        <v>2677.1988409695964</v>
      </c>
      <c r="X36" s="40">
        <f t="shared" si="44"/>
        <v>2720.3195927870884</v>
      </c>
      <c r="Y36" s="40">
        <f t="shared" si="44"/>
        <v>2764.1348762205544</v>
      </c>
      <c r="Z36" s="40">
        <f t="shared" si="44"/>
        <v>2808.6558778598696</v>
      </c>
      <c r="AA36" s="40">
        <f t="shared" si="44"/>
        <v>2853.8939644735901</v>
      </c>
      <c r="AC36" s="40">
        <f t="shared" ref="AC36:AH46" si="45">SUMIF($D$4:$AA$4,AC$5,$D36:$AA36)</f>
        <v>39.12912879702538</v>
      </c>
      <c r="AD36" s="40">
        <f t="shared" si="45"/>
        <v>2162.507375594208</v>
      </c>
      <c r="AE36" s="40">
        <f t="shared" si="45"/>
        <v>4483.1617579615213</v>
      </c>
      <c r="AF36" s="40">
        <f t="shared" si="45"/>
        <v>7461.9439729975802</v>
      </c>
      <c r="AG36" s="40">
        <f t="shared" si="45"/>
        <v>10275.30563913414</v>
      </c>
      <c r="AH36" s="40">
        <f t="shared" si="45"/>
        <v>11147.004311341101</v>
      </c>
    </row>
    <row r="37" spans="1:34">
      <c r="A37" s="42" t="str">
        <f>Выручка!A19</f>
        <v>XXX</v>
      </c>
      <c r="B37" s="39" t="s">
        <v>96</v>
      </c>
      <c r="C37" s="40"/>
      <c r="D37" s="40">
        <f t="shared" ref="D37:AA37" si="46">D24*D15/1000</f>
        <v>0</v>
      </c>
      <c r="E37" s="40">
        <f t="shared" si="46"/>
        <v>0</v>
      </c>
      <c r="F37" s="40">
        <f t="shared" si="46"/>
        <v>0</v>
      </c>
      <c r="G37" s="40">
        <f t="shared" si="46"/>
        <v>0</v>
      </c>
      <c r="H37" s="40">
        <f t="shared" si="46"/>
        <v>0</v>
      </c>
      <c r="I37" s="40">
        <f t="shared" si="46"/>
        <v>0</v>
      </c>
      <c r="J37" s="40">
        <f t="shared" si="46"/>
        <v>0</v>
      </c>
      <c r="K37" s="40">
        <f t="shared" si="46"/>
        <v>0</v>
      </c>
      <c r="L37" s="40">
        <f t="shared" si="46"/>
        <v>0</v>
      </c>
      <c r="M37" s="40">
        <f t="shared" si="46"/>
        <v>0</v>
      </c>
      <c r="N37" s="40">
        <f t="shared" si="46"/>
        <v>0</v>
      </c>
      <c r="O37" s="40">
        <f t="shared" si="46"/>
        <v>0</v>
      </c>
      <c r="P37" s="40">
        <f t="shared" si="46"/>
        <v>0</v>
      </c>
      <c r="Q37" s="40">
        <f t="shared" si="46"/>
        <v>0</v>
      </c>
      <c r="R37" s="40">
        <f t="shared" si="46"/>
        <v>0</v>
      </c>
      <c r="S37" s="40">
        <f t="shared" si="46"/>
        <v>0</v>
      </c>
      <c r="T37" s="40">
        <f t="shared" si="46"/>
        <v>0</v>
      </c>
      <c r="U37" s="40">
        <f t="shared" si="46"/>
        <v>0</v>
      </c>
      <c r="V37" s="40">
        <f t="shared" si="46"/>
        <v>0</v>
      </c>
      <c r="W37" s="40">
        <f t="shared" si="46"/>
        <v>0</v>
      </c>
      <c r="X37" s="40">
        <f t="shared" si="46"/>
        <v>0</v>
      </c>
      <c r="Y37" s="40">
        <f t="shared" si="46"/>
        <v>0</v>
      </c>
      <c r="Z37" s="40">
        <f t="shared" si="46"/>
        <v>0</v>
      </c>
      <c r="AA37" s="40">
        <f t="shared" si="46"/>
        <v>0</v>
      </c>
      <c r="AC37" s="40">
        <f t="shared" si="45"/>
        <v>0</v>
      </c>
      <c r="AD37" s="40">
        <f t="shared" si="45"/>
        <v>0</v>
      </c>
      <c r="AE37" s="40">
        <f t="shared" si="45"/>
        <v>0</v>
      </c>
      <c r="AF37" s="40">
        <f t="shared" si="45"/>
        <v>0</v>
      </c>
      <c r="AG37" s="40">
        <f t="shared" si="45"/>
        <v>0</v>
      </c>
      <c r="AH37" s="40">
        <f t="shared" si="45"/>
        <v>0</v>
      </c>
    </row>
    <row r="38" spans="1:34">
      <c r="A38" s="42" t="str">
        <f>Выручка!A20</f>
        <v>XXX</v>
      </c>
      <c r="B38" s="39" t="s">
        <v>96</v>
      </c>
      <c r="C38" s="40"/>
      <c r="D38" s="40">
        <f t="shared" ref="D38:AA38" si="47">D27*D16/1000</f>
        <v>0</v>
      </c>
      <c r="E38" s="40">
        <f t="shared" si="47"/>
        <v>0</v>
      </c>
      <c r="F38" s="40">
        <f t="shared" si="47"/>
        <v>0</v>
      </c>
      <c r="G38" s="40">
        <f t="shared" si="47"/>
        <v>0</v>
      </c>
      <c r="H38" s="40">
        <f t="shared" si="47"/>
        <v>0</v>
      </c>
      <c r="I38" s="40">
        <f t="shared" si="47"/>
        <v>0</v>
      </c>
      <c r="J38" s="40">
        <f t="shared" si="47"/>
        <v>0</v>
      </c>
      <c r="K38" s="40">
        <f t="shared" si="47"/>
        <v>0</v>
      </c>
      <c r="L38" s="40">
        <f t="shared" si="47"/>
        <v>0</v>
      </c>
      <c r="M38" s="40">
        <f t="shared" si="47"/>
        <v>0</v>
      </c>
      <c r="N38" s="40">
        <f t="shared" si="47"/>
        <v>0</v>
      </c>
      <c r="O38" s="40">
        <f t="shared" si="47"/>
        <v>0</v>
      </c>
      <c r="P38" s="40">
        <f t="shared" si="47"/>
        <v>0</v>
      </c>
      <c r="Q38" s="40">
        <f t="shared" si="47"/>
        <v>0</v>
      </c>
      <c r="R38" s="40">
        <f t="shared" si="47"/>
        <v>0</v>
      </c>
      <c r="S38" s="40">
        <f t="shared" si="47"/>
        <v>0</v>
      </c>
      <c r="T38" s="40">
        <f t="shared" si="47"/>
        <v>0</v>
      </c>
      <c r="U38" s="40">
        <f t="shared" si="47"/>
        <v>0</v>
      </c>
      <c r="V38" s="40">
        <f t="shared" si="47"/>
        <v>0</v>
      </c>
      <c r="W38" s="40">
        <f t="shared" si="47"/>
        <v>0</v>
      </c>
      <c r="X38" s="40">
        <f t="shared" si="47"/>
        <v>0</v>
      </c>
      <c r="Y38" s="40">
        <f t="shared" si="47"/>
        <v>0</v>
      </c>
      <c r="Z38" s="40">
        <f t="shared" si="47"/>
        <v>0</v>
      </c>
      <c r="AA38" s="40">
        <f t="shared" si="47"/>
        <v>0</v>
      </c>
      <c r="AC38" s="40">
        <f t="shared" si="45"/>
        <v>0</v>
      </c>
      <c r="AD38" s="40">
        <f t="shared" si="45"/>
        <v>0</v>
      </c>
      <c r="AE38" s="40">
        <f t="shared" si="45"/>
        <v>0</v>
      </c>
      <c r="AF38" s="40">
        <f t="shared" si="45"/>
        <v>0</v>
      </c>
      <c r="AG38" s="40">
        <f t="shared" si="45"/>
        <v>0</v>
      </c>
      <c r="AH38" s="40">
        <f t="shared" si="45"/>
        <v>0</v>
      </c>
    </row>
    <row r="39" spans="1:34">
      <c r="A39" s="42" t="str">
        <f>Выручка!A21</f>
        <v>XXX</v>
      </c>
      <c r="B39" s="39" t="s">
        <v>96</v>
      </c>
      <c r="C39" s="40"/>
      <c r="D39" s="40">
        <f t="shared" ref="D39:AA39" si="48">D30*D17/1000</f>
        <v>0</v>
      </c>
      <c r="E39" s="40">
        <f t="shared" si="48"/>
        <v>0</v>
      </c>
      <c r="F39" s="40">
        <f t="shared" si="48"/>
        <v>0</v>
      </c>
      <c r="G39" s="40">
        <f t="shared" si="48"/>
        <v>0</v>
      </c>
      <c r="H39" s="40">
        <f t="shared" si="48"/>
        <v>0</v>
      </c>
      <c r="I39" s="40">
        <f t="shared" si="48"/>
        <v>0</v>
      </c>
      <c r="J39" s="40">
        <f t="shared" si="48"/>
        <v>0</v>
      </c>
      <c r="K39" s="40">
        <f t="shared" si="48"/>
        <v>0</v>
      </c>
      <c r="L39" s="40">
        <f t="shared" si="48"/>
        <v>0</v>
      </c>
      <c r="M39" s="40">
        <f t="shared" si="48"/>
        <v>0</v>
      </c>
      <c r="N39" s="40">
        <f t="shared" si="48"/>
        <v>0</v>
      </c>
      <c r="O39" s="40">
        <f t="shared" si="48"/>
        <v>0</v>
      </c>
      <c r="P39" s="40">
        <f t="shared" si="48"/>
        <v>0</v>
      </c>
      <c r="Q39" s="40">
        <f t="shared" si="48"/>
        <v>0</v>
      </c>
      <c r="R39" s="40">
        <f t="shared" si="48"/>
        <v>0</v>
      </c>
      <c r="S39" s="40">
        <f t="shared" si="48"/>
        <v>0</v>
      </c>
      <c r="T39" s="40">
        <f t="shared" si="48"/>
        <v>0</v>
      </c>
      <c r="U39" s="40">
        <f t="shared" si="48"/>
        <v>0</v>
      </c>
      <c r="V39" s="40">
        <f t="shared" si="48"/>
        <v>0</v>
      </c>
      <c r="W39" s="40">
        <f t="shared" si="48"/>
        <v>0</v>
      </c>
      <c r="X39" s="40">
        <f t="shared" si="48"/>
        <v>0</v>
      </c>
      <c r="Y39" s="40">
        <f t="shared" si="48"/>
        <v>0</v>
      </c>
      <c r="Z39" s="40">
        <f t="shared" si="48"/>
        <v>0</v>
      </c>
      <c r="AA39" s="40">
        <f t="shared" si="48"/>
        <v>0</v>
      </c>
      <c r="AC39" s="40">
        <f t="shared" si="45"/>
        <v>0</v>
      </c>
      <c r="AD39" s="40">
        <f t="shared" si="45"/>
        <v>0</v>
      </c>
      <c r="AE39" s="40">
        <f t="shared" si="45"/>
        <v>0</v>
      </c>
      <c r="AF39" s="40">
        <f t="shared" si="45"/>
        <v>0</v>
      </c>
      <c r="AG39" s="40">
        <f t="shared" si="45"/>
        <v>0</v>
      </c>
      <c r="AH39" s="40">
        <f t="shared" si="45"/>
        <v>0</v>
      </c>
    </row>
    <row r="40" spans="1:34">
      <c r="A40" s="73" t="s">
        <v>134</v>
      </c>
      <c r="B40" s="73" t="s">
        <v>96</v>
      </c>
      <c r="C40" s="74"/>
      <c r="D40" s="74">
        <f>SUM(D36:D39)</f>
        <v>0</v>
      </c>
      <c r="E40" s="74">
        <f t="shared" ref="E40:W40" si="49">SUM(E36:E39)</f>
        <v>0</v>
      </c>
      <c r="F40" s="74">
        <f t="shared" si="49"/>
        <v>39.12912879702538</v>
      </c>
      <c r="G40" s="74">
        <f t="shared" si="49"/>
        <v>0</v>
      </c>
      <c r="H40" s="74">
        <f t="shared" si="49"/>
        <v>351.14937630638917</v>
      </c>
      <c r="I40" s="74">
        <f t="shared" si="49"/>
        <v>472.8126072988959</v>
      </c>
      <c r="J40" s="74">
        <f t="shared" si="49"/>
        <v>601.38279533525167</v>
      </c>
      <c r="K40" s="74">
        <f t="shared" si="49"/>
        <v>737.16259665367113</v>
      </c>
      <c r="L40" s="74">
        <f t="shared" si="49"/>
        <v>882.02904608298957</v>
      </c>
      <c r="M40" s="74">
        <f t="shared" si="49"/>
        <v>1035.2862256162607</v>
      </c>
      <c r="N40" s="74">
        <f t="shared" si="49"/>
        <v>1197.3188688266634</v>
      </c>
      <c r="O40" s="74">
        <f t="shared" si="49"/>
        <v>1368.5276174356081</v>
      </c>
      <c r="P40" s="74">
        <f t="shared" si="49"/>
        <v>1555.4522490717093</v>
      </c>
      <c r="Q40" s="74">
        <f t="shared" si="49"/>
        <v>1753.9399067912777</v>
      </c>
      <c r="R40" s="74">
        <f t="shared" si="49"/>
        <v>1964.5765653564433</v>
      </c>
      <c r="S40" s="74">
        <f t="shared" si="49"/>
        <v>2187.9752517781494</v>
      </c>
      <c r="T40" s="74">
        <f t="shared" si="49"/>
        <v>2383.1277030121537</v>
      </c>
      <c r="U40" s="74">
        <f t="shared" si="49"/>
        <v>2584.5251779072833</v>
      </c>
      <c r="V40" s="74">
        <f t="shared" si="49"/>
        <v>2630.4539172451055</v>
      </c>
      <c r="W40" s="74">
        <f t="shared" si="49"/>
        <v>2677.1988409695964</v>
      </c>
      <c r="X40" s="74">
        <f t="shared" ref="X40:AA40" si="50">SUM(X36:X39)</f>
        <v>2720.3195927870884</v>
      </c>
      <c r="Y40" s="74">
        <f t="shared" si="50"/>
        <v>2764.1348762205544</v>
      </c>
      <c r="Z40" s="74">
        <f t="shared" si="50"/>
        <v>2808.6558778598696</v>
      </c>
      <c r="AA40" s="74">
        <f t="shared" si="50"/>
        <v>2853.8939644735901</v>
      </c>
      <c r="AC40" s="74">
        <f t="shared" si="45"/>
        <v>39.12912879702538</v>
      </c>
      <c r="AD40" s="74">
        <f t="shared" si="45"/>
        <v>2162.507375594208</v>
      </c>
      <c r="AE40" s="74">
        <f t="shared" si="45"/>
        <v>4483.1617579615213</v>
      </c>
      <c r="AF40" s="74">
        <f t="shared" si="45"/>
        <v>7461.9439729975802</v>
      </c>
      <c r="AG40" s="74">
        <f t="shared" si="45"/>
        <v>10275.30563913414</v>
      </c>
      <c r="AH40" s="74">
        <f t="shared" si="45"/>
        <v>11147.004311341101</v>
      </c>
    </row>
    <row r="41" spans="1:34">
      <c r="A41" s="39"/>
      <c r="B41" s="39"/>
      <c r="C41" s="40"/>
      <c r="D41" s="40"/>
      <c r="E41" s="40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C41" s="47"/>
      <c r="AD41" s="47"/>
      <c r="AE41" s="47"/>
      <c r="AF41" s="47"/>
      <c r="AG41" s="47"/>
      <c r="AH41" s="47"/>
    </row>
    <row r="42" spans="1:34">
      <c r="A42" s="42" t="s">
        <v>135</v>
      </c>
      <c r="B42" s="39" t="s">
        <v>96</v>
      </c>
      <c r="C42" s="40"/>
      <c r="D42" s="40">
        <f>IF(LEFT(D5,1)="4",Предположения!$C$54,)</f>
        <v>0</v>
      </c>
      <c r="E42" s="40">
        <f>IF(LEFT(E5,1)="4",Предположения!$C$54,)</f>
        <v>0</v>
      </c>
      <c r="F42" s="40">
        <f>IF(LEFT(F5,1)="4",Предположения!$C$54,)</f>
        <v>0</v>
      </c>
      <c r="G42" s="40">
        <f>IF(LEFT(G5,1)="4",Предположения!$C$54,)</f>
        <v>19.399999999999999</v>
      </c>
      <c r="H42" s="40">
        <f>IF(LEFT(H5,1)="4",Предположения!$C$54,)</f>
        <v>0</v>
      </c>
      <c r="I42" s="40">
        <f>IF(LEFT(I5,1)="4",Предположения!$C$54,)</f>
        <v>0</v>
      </c>
      <c r="J42" s="40">
        <f>IF(LEFT(J5,1)="4",Предположения!$C$54,)</f>
        <v>0</v>
      </c>
      <c r="K42" s="40">
        <f>IF(LEFT(K5,1)="4",Предположения!$C$54,)</f>
        <v>19.399999999999999</v>
      </c>
      <c r="L42" s="40">
        <f>IF(LEFT(L5,1)="4",Предположения!$C$54,)</f>
        <v>0</v>
      </c>
      <c r="M42" s="40">
        <f>IF(LEFT(M5,1)="4",Предположения!$C$54,)</f>
        <v>0</v>
      </c>
      <c r="N42" s="40">
        <f>IF(LEFT(N5,1)="4",Предположения!$C$54,)</f>
        <v>0</v>
      </c>
      <c r="O42" s="40">
        <f>IF(LEFT(O5,1)="4",Предположения!$C$54,)</f>
        <v>19.399999999999999</v>
      </c>
      <c r="P42" s="40">
        <f>IF(LEFT(P5,1)="4",Предположения!$C$54,)</f>
        <v>0</v>
      </c>
      <c r="Q42" s="40">
        <f>IF(LEFT(Q5,1)="4",Предположения!$C$54,)</f>
        <v>0</v>
      </c>
      <c r="R42" s="40">
        <f>IF(LEFT(R5,1)="4",Предположения!$C$54,)</f>
        <v>0</v>
      </c>
      <c r="S42" s="40">
        <f>IF(LEFT(S5,1)="4",Предположения!$C$54,)</f>
        <v>19.399999999999999</v>
      </c>
      <c r="T42" s="40">
        <f>IF(LEFT(T5,1)="4",Предположения!$C$54,)</f>
        <v>0</v>
      </c>
      <c r="U42" s="40">
        <f>IF(LEFT(U5,1)="4",Предположения!$C$54,)</f>
        <v>0</v>
      </c>
      <c r="V42" s="40">
        <f>IF(LEFT(V5,1)="4",Предположения!$C$54,)</f>
        <v>0</v>
      </c>
      <c r="W42" s="40">
        <f>IF(LEFT(W5,1)="4",Предположения!$C$54,)</f>
        <v>19.399999999999999</v>
      </c>
      <c r="X42" s="40">
        <f>IF(LEFT(X5,1)="4",Предположения!$C$54,)</f>
        <v>0</v>
      </c>
      <c r="Y42" s="40">
        <f>IF(LEFT(Y5,1)="4",Предположения!$C$54,)</f>
        <v>0</v>
      </c>
      <c r="Z42" s="40">
        <f>IF(LEFT(Z5,1)="4",Предположения!$C$54,)</f>
        <v>0</v>
      </c>
      <c r="AA42" s="40">
        <f>IF(LEFT(AA5,1)="4",Предположения!$C$54,)</f>
        <v>19.399999999999999</v>
      </c>
      <c r="AC42" s="40">
        <f t="shared" si="45"/>
        <v>19.399999999999999</v>
      </c>
      <c r="AD42" s="40">
        <f t="shared" si="45"/>
        <v>19.399999999999999</v>
      </c>
      <c r="AE42" s="40">
        <f t="shared" si="45"/>
        <v>19.399999999999999</v>
      </c>
      <c r="AF42" s="40">
        <f t="shared" si="45"/>
        <v>19.399999999999999</v>
      </c>
      <c r="AG42" s="40">
        <f t="shared" si="45"/>
        <v>19.399999999999999</v>
      </c>
      <c r="AH42" s="40">
        <f t="shared" si="45"/>
        <v>19.399999999999999</v>
      </c>
    </row>
    <row r="43" spans="1:34">
      <c r="A43" s="42" t="s">
        <v>136</v>
      </c>
      <c r="B43" s="39" t="s">
        <v>96</v>
      </c>
      <c r="C43" s="40"/>
      <c r="D43" s="40">
        <f>Предположения!$C$74*Затраты!D40</f>
        <v>0</v>
      </c>
      <c r="E43" s="40">
        <f>Предположения!$C$74*Затраты!E40</f>
        <v>0</v>
      </c>
      <c r="F43" s="40">
        <f>Предположения!$C$74*Затраты!F40</f>
        <v>0</v>
      </c>
      <c r="G43" s="40">
        <f>Предположения!$C$74*Затраты!G40</f>
        <v>0</v>
      </c>
      <c r="H43" s="40">
        <f>Предположения!$C$74*Затраты!H40</f>
        <v>0</v>
      </c>
      <c r="I43" s="40">
        <f>Предположения!$C$74*Затраты!I40</f>
        <v>0</v>
      </c>
      <c r="J43" s="40">
        <f>Предположения!$C$74*Затраты!J40</f>
        <v>0</v>
      </c>
      <c r="K43" s="40">
        <f>Предположения!$C$74*Затраты!K40</f>
        <v>0</v>
      </c>
      <c r="L43" s="40">
        <f>Предположения!$C$74*Затраты!L40</f>
        <v>0</v>
      </c>
      <c r="M43" s="40">
        <f>Предположения!$C$74*Затраты!M40</f>
        <v>0</v>
      </c>
      <c r="N43" s="40">
        <f>Предположения!$C$74*Затраты!N40</f>
        <v>0</v>
      </c>
      <c r="O43" s="40">
        <f>Предположения!$C$74*Затраты!O40</f>
        <v>0</v>
      </c>
      <c r="P43" s="40">
        <f>Предположения!$C$74*Затраты!P40</f>
        <v>0</v>
      </c>
      <c r="Q43" s="40">
        <f>Предположения!$C$74*Затраты!Q40</f>
        <v>0</v>
      </c>
      <c r="R43" s="40">
        <f>Предположения!$C$74*Затраты!R40</f>
        <v>0</v>
      </c>
      <c r="S43" s="40">
        <f>Предположения!$C$74*Затраты!S40</f>
        <v>0</v>
      </c>
      <c r="T43" s="40">
        <f>Предположения!$C$74*Затраты!T40</f>
        <v>0</v>
      </c>
      <c r="U43" s="40">
        <f>Предположения!$C$74*Затраты!U40</f>
        <v>0</v>
      </c>
      <c r="V43" s="40">
        <f>Предположения!$C$74*Затраты!V40</f>
        <v>0</v>
      </c>
      <c r="W43" s="40">
        <f>Предположения!$C$74*Затраты!W40</f>
        <v>0</v>
      </c>
      <c r="X43" s="40">
        <f>Предположения!$C$74*Затраты!X40</f>
        <v>0</v>
      </c>
      <c r="Y43" s="40">
        <f>Предположения!$C$74*Затраты!Y40</f>
        <v>0</v>
      </c>
      <c r="Z43" s="40">
        <f>Предположения!$C$74*Затраты!Z40</f>
        <v>0</v>
      </c>
      <c r="AA43" s="40">
        <f>Предположения!$C$74*Затраты!AA40</f>
        <v>0</v>
      </c>
      <c r="AC43" s="40">
        <f t="shared" si="45"/>
        <v>0</v>
      </c>
      <c r="AD43" s="40">
        <f t="shared" si="45"/>
        <v>0</v>
      </c>
      <c r="AE43" s="40">
        <f t="shared" si="45"/>
        <v>0</v>
      </c>
      <c r="AF43" s="40">
        <f t="shared" si="45"/>
        <v>0</v>
      </c>
      <c r="AG43" s="40">
        <f t="shared" si="45"/>
        <v>0</v>
      </c>
      <c r="AH43" s="40">
        <f t="shared" si="45"/>
        <v>0</v>
      </c>
    </row>
    <row r="44" spans="1:34">
      <c r="A44" s="42" t="s">
        <v>137</v>
      </c>
      <c r="B44" s="39" t="s">
        <v>96</v>
      </c>
      <c r="C44" s="40"/>
      <c r="D44" s="40">
        <f>Персонал!D49</f>
        <v>0</v>
      </c>
      <c r="E44" s="40">
        <f>Персонал!E49</f>
        <v>0</v>
      </c>
      <c r="F44" s="40">
        <f>Персонал!F49</f>
        <v>0</v>
      </c>
      <c r="G44" s="40">
        <f>Персонал!G49</f>
        <v>0</v>
      </c>
      <c r="H44" s="40">
        <f>Персонал!H49</f>
        <v>0</v>
      </c>
      <c r="I44" s="40">
        <f>Персонал!I49</f>
        <v>0</v>
      </c>
      <c r="J44" s="40">
        <f>Персонал!J49</f>
        <v>0</v>
      </c>
      <c r="K44" s="40">
        <f>Персонал!K49</f>
        <v>0</v>
      </c>
      <c r="L44" s="40">
        <f>Персонал!L49</f>
        <v>0</v>
      </c>
      <c r="M44" s="40">
        <f>Персонал!M49</f>
        <v>0</v>
      </c>
      <c r="N44" s="40">
        <f>Персонал!N49</f>
        <v>0</v>
      </c>
      <c r="O44" s="40">
        <f>Персонал!O49</f>
        <v>0</v>
      </c>
      <c r="P44" s="40">
        <f>Персонал!P49</f>
        <v>0</v>
      </c>
      <c r="Q44" s="40">
        <f>Персонал!Q49</f>
        <v>0</v>
      </c>
      <c r="R44" s="40">
        <f>Персонал!R49</f>
        <v>0</v>
      </c>
      <c r="S44" s="40">
        <f>Персонал!S49</f>
        <v>0</v>
      </c>
      <c r="T44" s="40">
        <f>Персонал!T49</f>
        <v>0</v>
      </c>
      <c r="U44" s="40">
        <f>Персонал!U49</f>
        <v>0</v>
      </c>
      <c r="V44" s="40">
        <f>Персонал!V49</f>
        <v>0</v>
      </c>
      <c r="W44" s="40">
        <f>Персонал!W49</f>
        <v>0</v>
      </c>
      <c r="X44" s="40">
        <f>Персонал!X49</f>
        <v>0</v>
      </c>
      <c r="Y44" s="40">
        <f>Персонал!Y49</f>
        <v>0</v>
      </c>
      <c r="Z44" s="40">
        <f>Персонал!Z49</f>
        <v>0</v>
      </c>
      <c r="AA44" s="40">
        <f>Персонал!AA49</f>
        <v>0</v>
      </c>
      <c r="AC44" s="40">
        <f t="shared" si="45"/>
        <v>0</v>
      </c>
      <c r="AD44" s="40">
        <f t="shared" si="45"/>
        <v>0</v>
      </c>
      <c r="AE44" s="40">
        <f t="shared" si="45"/>
        <v>0</v>
      </c>
      <c r="AF44" s="40">
        <f t="shared" si="45"/>
        <v>0</v>
      </c>
      <c r="AG44" s="40">
        <f t="shared" si="45"/>
        <v>0</v>
      </c>
      <c r="AH44" s="40">
        <f t="shared" si="45"/>
        <v>0</v>
      </c>
    </row>
    <row r="45" spans="1:34">
      <c r="A45" s="42" t="s">
        <v>138</v>
      </c>
      <c r="B45" s="39" t="s">
        <v>96</v>
      </c>
      <c r="D45" s="40">
        <f>Предположения!$C$78*Выручка!D$37</f>
        <v>0</v>
      </c>
      <c r="E45" s="40">
        <f>Предположения!$C$78*Выручка!E$37</f>
        <v>0</v>
      </c>
      <c r="F45" s="40">
        <f>Предположения!$C$78*Выручка!F$37</f>
        <v>0.86953619548945305</v>
      </c>
      <c r="G45" s="40">
        <f>Предположения!$C$78*Выручка!G$37</f>
        <v>0</v>
      </c>
      <c r="H45" s="40">
        <f>Предположения!$C$78*Выручка!H$37</f>
        <v>15.606638946950627</v>
      </c>
      <c r="I45" s="40">
        <f>Предположения!$C$78*Выручка!I$37</f>
        <v>21.013893657728708</v>
      </c>
      <c r="J45" s="40">
        <f>Предположения!$C$78*Выручка!J$37</f>
        <v>26.728124237122298</v>
      </c>
      <c r="K45" s="40">
        <f>Предположения!$C$78*Выручка!K$37</f>
        <v>32.762782073496496</v>
      </c>
      <c r="L45" s="40">
        <f>Предположения!$C$78*Выручка!L$37</f>
        <v>39.20129093702176</v>
      </c>
      <c r="M45" s="40">
        <f>Предположения!$C$78*Выручка!M$37</f>
        <v>46.012721138500467</v>
      </c>
      <c r="N45" s="40">
        <f>Предположения!$C$78*Выручка!N$37</f>
        <v>53.214171947851696</v>
      </c>
      <c r="O45" s="40">
        <f>Предположения!$C$78*Выручка!O$37</f>
        <v>60.823449663804787</v>
      </c>
      <c r="P45" s="40">
        <f>Предположения!$C$78*Выручка!P$37</f>
        <v>69.131211069853734</v>
      </c>
      <c r="Q45" s="40">
        <f>Предположения!$C$78*Выручка!Q$37</f>
        <v>77.952884746278983</v>
      </c>
      <c r="R45" s="40">
        <f>Предположения!$C$78*Выручка!R$37</f>
        <v>87.314514015841894</v>
      </c>
      <c r="S45" s="40">
        <f>Предположения!$C$78*Выручка!S$37</f>
        <v>97.243344523473283</v>
      </c>
      <c r="T45" s="40">
        <f>Предположения!$C$78*Выручка!T$37</f>
        <v>105.91678680054012</v>
      </c>
      <c r="U45" s="40">
        <f>Предположения!$C$78*Выручка!U$37</f>
        <v>114.86778568476812</v>
      </c>
      <c r="V45" s="40">
        <f>Предположения!$C$78*Выручка!V$37</f>
        <v>116.90906298867131</v>
      </c>
      <c r="W45" s="40">
        <f>Предположения!$C$78*Выручка!W$37</f>
        <v>118.98661515420424</v>
      </c>
      <c r="X45" s="40">
        <f>Предположения!$C$78*Выручка!X$37</f>
        <v>120.90309301275943</v>
      </c>
      <c r="Y45" s="40">
        <f>Предположения!$C$78*Выручка!Y$37</f>
        <v>122.85043894313574</v>
      </c>
      <c r="Z45" s="40">
        <f>Предположения!$C$78*Выручка!Z$37</f>
        <v>124.82915012710528</v>
      </c>
      <c r="AA45" s="40">
        <f>Предположения!$C$78*Выручка!AA$37</f>
        <v>126.83973175438176</v>
      </c>
      <c r="AC45" s="40">
        <f t="shared" si="45"/>
        <v>0.86953619548945305</v>
      </c>
      <c r="AD45" s="40">
        <f t="shared" si="45"/>
        <v>96.111438915298123</v>
      </c>
      <c r="AE45" s="40">
        <f t="shared" si="45"/>
        <v>199.2516336871787</v>
      </c>
      <c r="AF45" s="40">
        <f t="shared" si="45"/>
        <v>331.64195435544792</v>
      </c>
      <c r="AG45" s="40">
        <f t="shared" si="45"/>
        <v>456.68025062818379</v>
      </c>
      <c r="AH45" s="40">
        <f t="shared" si="45"/>
        <v>495.42241383738224</v>
      </c>
    </row>
    <row r="46" spans="1:34">
      <c r="A46" s="84" t="s">
        <v>139</v>
      </c>
      <c r="B46" s="84" t="s">
        <v>96</v>
      </c>
      <c r="C46" s="85"/>
      <c r="D46" s="85">
        <f t="shared" ref="D46:Z46" si="51">SUM(D40,D42:D45)</f>
        <v>0</v>
      </c>
      <c r="E46" s="85">
        <f t="shared" si="51"/>
        <v>0</v>
      </c>
      <c r="F46" s="85">
        <f t="shared" si="51"/>
        <v>39.998664992514833</v>
      </c>
      <c r="G46" s="85">
        <f t="shared" si="51"/>
        <v>19.399999999999999</v>
      </c>
      <c r="H46" s="85">
        <f t="shared" si="51"/>
        <v>366.7560152533398</v>
      </c>
      <c r="I46" s="85">
        <f t="shared" si="51"/>
        <v>493.82650095662461</v>
      </c>
      <c r="J46" s="85">
        <f t="shared" si="51"/>
        <v>628.11091957237397</v>
      </c>
      <c r="K46" s="85">
        <f t="shared" si="51"/>
        <v>789.32537872716762</v>
      </c>
      <c r="L46" s="85">
        <f t="shared" si="51"/>
        <v>921.23033702001135</v>
      </c>
      <c r="M46" s="85">
        <f t="shared" si="51"/>
        <v>1081.2989467547611</v>
      </c>
      <c r="N46" s="85">
        <f t="shared" si="51"/>
        <v>1250.533040774515</v>
      </c>
      <c r="O46" s="85">
        <f t="shared" si="51"/>
        <v>1448.7510670994129</v>
      </c>
      <c r="P46" s="85">
        <f t="shared" si="51"/>
        <v>1624.5834601415629</v>
      </c>
      <c r="Q46" s="85">
        <f t="shared" si="51"/>
        <v>1831.8927915375566</v>
      </c>
      <c r="R46" s="85">
        <f t="shared" si="51"/>
        <v>2051.8910793722853</v>
      </c>
      <c r="S46" s="85">
        <f t="shared" si="51"/>
        <v>2304.6185963016228</v>
      </c>
      <c r="T46" s="85">
        <f t="shared" si="51"/>
        <v>2489.0444898126939</v>
      </c>
      <c r="U46" s="85">
        <f t="shared" si="51"/>
        <v>2699.3929635920513</v>
      </c>
      <c r="V46" s="85">
        <f t="shared" si="51"/>
        <v>2747.3629802337769</v>
      </c>
      <c r="W46" s="85">
        <f t="shared" si="51"/>
        <v>2815.5854561238007</v>
      </c>
      <c r="X46" s="85">
        <f t="shared" si="51"/>
        <v>2841.2226857998476</v>
      </c>
      <c r="Y46" s="85">
        <f t="shared" si="51"/>
        <v>2886.9853151636903</v>
      </c>
      <c r="Z46" s="85">
        <f t="shared" si="51"/>
        <v>2933.4850279869747</v>
      </c>
      <c r="AA46" s="85">
        <f>SUM(AA40,AA42:AA45)</f>
        <v>3000.133696227972</v>
      </c>
      <c r="AC46" s="85">
        <f t="shared" si="45"/>
        <v>59.398664992514831</v>
      </c>
      <c r="AD46" s="85">
        <f t="shared" si="45"/>
        <v>2278.0188145095062</v>
      </c>
      <c r="AE46" s="85">
        <f t="shared" si="45"/>
        <v>4701.8133916487004</v>
      </c>
      <c r="AF46" s="85">
        <f t="shared" si="45"/>
        <v>7812.9859273530274</v>
      </c>
      <c r="AG46" s="85">
        <f t="shared" si="45"/>
        <v>10751.385889762323</v>
      </c>
      <c r="AH46" s="85">
        <f t="shared" si="45"/>
        <v>11661.826725178486</v>
      </c>
    </row>
    <row r="47" spans="1:34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C47" s="40"/>
      <c r="AD47" s="40"/>
      <c r="AE47" s="40"/>
      <c r="AF47" s="40"/>
      <c r="AG47" s="40"/>
      <c r="AH47" s="40"/>
    </row>
    <row r="48" spans="1:34">
      <c r="A48" s="81" t="s">
        <v>140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C48" s="82"/>
      <c r="AD48" s="82"/>
      <c r="AE48" s="82"/>
      <c r="AF48" s="82"/>
      <c r="AG48" s="82"/>
      <c r="AH48" s="82"/>
    </row>
    <row r="49" spans="1:34">
      <c r="A49" s="42" t="s">
        <v>141</v>
      </c>
      <c r="B49" s="39" t="s">
        <v>96</v>
      </c>
      <c r="C49" s="40"/>
      <c r="D49" s="40">
        <f>Предположения!C77</f>
        <v>0</v>
      </c>
      <c r="E49" s="40">
        <f>Предположения!C77</f>
        <v>0</v>
      </c>
      <c r="F49" s="40">
        <f t="shared" ref="F49:O49" si="52">E49*(1+F$8)</f>
        <v>0</v>
      </c>
      <c r="G49" s="40">
        <f t="shared" si="52"/>
        <v>0</v>
      </c>
      <c r="H49" s="40">
        <f t="shared" si="52"/>
        <v>0</v>
      </c>
      <c r="I49" s="40">
        <f t="shared" si="52"/>
        <v>0</v>
      </c>
      <c r="J49" s="40">
        <f t="shared" si="52"/>
        <v>0</v>
      </c>
      <c r="K49" s="40">
        <f t="shared" si="52"/>
        <v>0</v>
      </c>
      <c r="L49" s="40">
        <f t="shared" si="52"/>
        <v>0</v>
      </c>
      <c r="M49" s="40">
        <f t="shared" si="52"/>
        <v>0</v>
      </c>
      <c r="N49" s="40">
        <f t="shared" si="52"/>
        <v>0</v>
      </c>
      <c r="O49" s="40">
        <f t="shared" si="52"/>
        <v>0</v>
      </c>
      <c r="P49" s="40">
        <f t="shared" ref="P49:W49" si="53">O49*(1+P$8)</f>
        <v>0</v>
      </c>
      <c r="Q49" s="40">
        <f t="shared" si="53"/>
        <v>0</v>
      </c>
      <c r="R49" s="40">
        <f t="shared" si="53"/>
        <v>0</v>
      </c>
      <c r="S49" s="40">
        <f t="shared" si="53"/>
        <v>0</v>
      </c>
      <c r="T49" s="40">
        <f t="shared" si="53"/>
        <v>0</v>
      </c>
      <c r="U49" s="40">
        <f t="shared" si="53"/>
        <v>0</v>
      </c>
      <c r="V49" s="40">
        <f t="shared" si="53"/>
        <v>0</v>
      </c>
      <c r="W49" s="40">
        <f t="shared" si="53"/>
        <v>0</v>
      </c>
      <c r="X49" s="40">
        <f>W49*(1+X$8)</f>
        <v>0</v>
      </c>
      <c r="Y49" s="40">
        <f>X49*(1+Y$8)</f>
        <v>0</v>
      </c>
      <c r="Z49" s="40">
        <f>Y49*(1+Z$8)</f>
        <v>0</v>
      </c>
      <c r="AA49" s="40">
        <f>Z49*(1+AA$8)</f>
        <v>0</v>
      </c>
      <c r="AC49" s="40">
        <f>SUMIF($D$4:$AA$4,AC$5,$D49:$AA49)-D49</f>
        <v>0</v>
      </c>
      <c r="AD49" s="40">
        <f t="shared" ref="AC49:AH54" si="54">SUMIF($D$4:$AA$4,AD$5,$D49:$AA49)</f>
        <v>0</v>
      </c>
      <c r="AE49" s="40">
        <f t="shared" si="54"/>
        <v>0</v>
      </c>
      <c r="AF49" s="40">
        <f t="shared" si="54"/>
        <v>0</v>
      </c>
      <c r="AG49" s="40">
        <f t="shared" si="54"/>
        <v>0</v>
      </c>
      <c r="AH49" s="40">
        <f t="shared" si="54"/>
        <v>0</v>
      </c>
    </row>
    <row r="50" spans="1:34">
      <c r="A50" s="42" t="s">
        <v>142</v>
      </c>
      <c r="B50" s="39" t="s">
        <v>96</v>
      </c>
      <c r="C50" s="40"/>
      <c r="D50" s="40">
        <f>Персонал!D51</f>
        <v>0</v>
      </c>
      <c r="E50" s="40">
        <f>Персонал!E51</f>
        <v>0</v>
      </c>
      <c r="F50" s="40">
        <f>Персонал!F51</f>
        <v>0</v>
      </c>
      <c r="G50" s="40">
        <f>Персонал!G51</f>
        <v>0</v>
      </c>
      <c r="H50" s="40">
        <f>Персонал!H51</f>
        <v>0</v>
      </c>
      <c r="I50" s="40">
        <f>Персонал!I51</f>
        <v>0</v>
      </c>
      <c r="J50" s="40">
        <f>Персонал!J51</f>
        <v>0</v>
      </c>
      <c r="K50" s="40">
        <f>Персонал!K51</f>
        <v>0</v>
      </c>
      <c r="L50" s="40">
        <f>Персонал!L51</f>
        <v>0</v>
      </c>
      <c r="M50" s="40">
        <f>Персонал!M51</f>
        <v>0</v>
      </c>
      <c r="N50" s="40">
        <f>Персонал!N51</f>
        <v>0</v>
      </c>
      <c r="O50" s="40">
        <f>Персонал!O51</f>
        <v>0</v>
      </c>
      <c r="P50" s="40">
        <f>Персонал!P51</f>
        <v>0</v>
      </c>
      <c r="Q50" s="40">
        <f>Персонал!Q51</f>
        <v>0</v>
      </c>
      <c r="R50" s="40">
        <f>Персонал!R51</f>
        <v>0</v>
      </c>
      <c r="S50" s="40">
        <f>Персонал!S51</f>
        <v>0</v>
      </c>
      <c r="T50" s="40">
        <f>Персонал!T51</f>
        <v>0</v>
      </c>
      <c r="U50" s="40">
        <f>Персонал!U51</f>
        <v>0</v>
      </c>
      <c r="V50" s="40">
        <f>Персонал!V51</f>
        <v>0</v>
      </c>
      <c r="W50" s="40">
        <f>Персонал!W51</f>
        <v>0</v>
      </c>
      <c r="X50" s="40">
        <f>Персонал!X51</f>
        <v>0</v>
      </c>
      <c r="Y50" s="40">
        <f>Персонал!Y51</f>
        <v>0</v>
      </c>
      <c r="Z50" s="40">
        <f>Персонал!Z51</f>
        <v>0</v>
      </c>
      <c r="AA50" s="40">
        <f>Персонал!AA51</f>
        <v>0</v>
      </c>
      <c r="AC50" s="40">
        <f t="shared" si="54"/>
        <v>0</v>
      </c>
      <c r="AD50" s="40">
        <f t="shared" si="54"/>
        <v>0</v>
      </c>
      <c r="AE50" s="40">
        <f t="shared" si="54"/>
        <v>0</v>
      </c>
      <c r="AF50" s="40">
        <f t="shared" si="54"/>
        <v>0</v>
      </c>
      <c r="AG50" s="40">
        <f t="shared" si="54"/>
        <v>0</v>
      </c>
      <c r="AH50" s="40">
        <f t="shared" si="54"/>
        <v>0</v>
      </c>
    </row>
    <row r="51" spans="1:34">
      <c r="A51" s="42" t="s">
        <v>143</v>
      </c>
      <c r="B51" s="39" t="s">
        <v>96</v>
      </c>
      <c r="C51" s="40"/>
      <c r="D51" s="40">
        <f>SUM(D52:D53)</f>
        <v>10</v>
      </c>
      <c r="E51" s="40">
        <f t="shared" ref="E51:AA51" si="55">SUM(E52:E53)</f>
        <v>10.375782490910947</v>
      </c>
      <c r="F51" s="40">
        <f t="shared" si="55"/>
        <v>10.765686229869418</v>
      </c>
      <c r="G51" s="40">
        <f t="shared" si="55"/>
        <v>11.17024186865202</v>
      </c>
      <c r="H51" s="40">
        <f t="shared" si="55"/>
        <v>11.50149128743527</v>
      </c>
      <c r="I51" s="40">
        <f t="shared" si="55"/>
        <v>11.842563786034917</v>
      </c>
      <c r="J51" s="40">
        <f t="shared" si="55"/>
        <v>12.19375066427402</v>
      </c>
      <c r="K51" s="40">
        <f t="shared" si="55"/>
        <v>12.555351860364869</v>
      </c>
      <c r="L51" s="40">
        <f t="shared" si="55"/>
        <v>12.950618047456166</v>
      </c>
      <c r="M51" s="40">
        <f t="shared" si="55"/>
        <v>13.358327960569262</v>
      </c>
      <c r="N51" s="40">
        <f t="shared" si="55"/>
        <v>13.778873351699051</v>
      </c>
      <c r="O51" s="40">
        <f t="shared" si="55"/>
        <v>14.212658305933036</v>
      </c>
      <c r="P51" s="40">
        <f t="shared" si="55"/>
        <v>14.718033094992792</v>
      </c>
      <c r="Q51" s="40">
        <f t="shared" si="55"/>
        <v>15.241378039383067</v>
      </c>
      <c r="R51" s="40">
        <f t="shared" si="55"/>
        <v>15.783332123258973</v>
      </c>
      <c r="S51" s="40">
        <f t="shared" si="55"/>
        <v>16.344557051822992</v>
      </c>
      <c r="T51" s="40">
        <f t="shared" si="55"/>
        <v>16.635010751729748</v>
      </c>
      <c r="U51" s="40">
        <f t="shared" si="55"/>
        <v>16.930626007959017</v>
      </c>
      <c r="V51" s="40">
        <f t="shared" si="55"/>
        <v>17.231494544815497</v>
      </c>
      <c r="W51" s="40">
        <f t="shared" si="55"/>
        <v>17.537709716606066</v>
      </c>
      <c r="X51" s="40">
        <f t="shared" si="55"/>
        <v>17.820183777390842</v>
      </c>
      <c r="Y51" s="40">
        <f t="shared" si="55"/>
        <v>18.107207553976917</v>
      </c>
      <c r="Z51" s="40">
        <f t="shared" si="55"/>
        <v>18.398854327124354</v>
      </c>
      <c r="AA51" s="40">
        <f t="shared" si="55"/>
        <v>18.695198557902064</v>
      </c>
      <c r="AC51" s="40">
        <f>SUMIF($D$4:$AA$4,AC$5,$D51:$AA51)-D51</f>
        <v>32.311710589432387</v>
      </c>
      <c r="AD51" s="40">
        <f t="shared" si="54"/>
        <v>48.093157598109073</v>
      </c>
      <c r="AE51" s="40">
        <f t="shared" si="54"/>
        <v>54.30047766565751</v>
      </c>
      <c r="AF51" s="40">
        <f t="shared" si="54"/>
        <v>62.087300309457817</v>
      </c>
      <c r="AG51" s="40">
        <f t="shared" si="54"/>
        <v>68.334841021110321</v>
      </c>
      <c r="AH51" s="40">
        <f t="shared" si="54"/>
        <v>73.021444216394173</v>
      </c>
    </row>
    <row r="52" spans="1:34">
      <c r="A52" s="86" t="s">
        <v>95</v>
      </c>
      <c r="B52" s="49" t="s">
        <v>96</v>
      </c>
      <c r="D52" s="87">
        <f>Предположения!C75</f>
        <v>0</v>
      </c>
      <c r="E52" s="87">
        <f t="shared" ref="E52:E53" si="56">D52*(1+E$8)</f>
        <v>0</v>
      </c>
      <c r="F52" s="87">
        <f t="shared" ref="F52:F53" si="57">E52*(1+F$8)</f>
        <v>0</v>
      </c>
      <c r="G52" s="87">
        <f t="shared" ref="G52:G53" si="58">F52*(1+G$8)</f>
        <v>0</v>
      </c>
      <c r="H52" s="87">
        <f t="shared" ref="H52:H53" si="59">G52*(1+H$8)</f>
        <v>0</v>
      </c>
      <c r="I52" s="87">
        <f t="shared" ref="I52:I53" si="60">H52*(1+I$8)</f>
        <v>0</v>
      </c>
      <c r="J52" s="87">
        <f t="shared" ref="J52:J53" si="61">I52*(1+J$8)</f>
        <v>0</v>
      </c>
      <c r="K52" s="87">
        <f t="shared" ref="K52:K53" si="62">J52*(1+K$8)</f>
        <v>0</v>
      </c>
      <c r="L52" s="87">
        <f t="shared" ref="L52:L53" si="63">K52*(1+L$8)</f>
        <v>0</v>
      </c>
      <c r="M52" s="87">
        <f t="shared" ref="M52:M53" si="64">L52*(1+M$8)</f>
        <v>0</v>
      </c>
      <c r="N52" s="87">
        <f t="shared" ref="N52:N53" si="65">M52*(1+N$8)</f>
        <v>0</v>
      </c>
      <c r="O52" s="87">
        <f t="shared" ref="O52:O53" si="66">N52*(1+O$8)</f>
        <v>0</v>
      </c>
      <c r="P52" s="87">
        <f t="shared" ref="P52:P53" si="67">O52*(1+P$8)</f>
        <v>0</v>
      </c>
      <c r="Q52" s="87">
        <f t="shared" ref="Q52:Q53" si="68">P52*(1+Q$8)</f>
        <v>0</v>
      </c>
      <c r="R52" s="87">
        <f t="shared" ref="R52:R53" si="69">Q52*(1+R$8)</f>
        <v>0</v>
      </c>
      <c r="S52" s="87">
        <f t="shared" ref="S52:S53" si="70">R52*(1+S$8)</f>
        <v>0</v>
      </c>
      <c r="T52" s="87">
        <f t="shared" ref="T52:T53" si="71">S52*(1+T$8)</f>
        <v>0</v>
      </c>
      <c r="U52" s="87">
        <f t="shared" ref="U52:U53" si="72">T52*(1+U$8)</f>
        <v>0</v>
      </c>
      <c r="V52" s="87">
        <f t="shared" ref="V52:V53" si="73">U52*(1+V$8)</f>
        <v>0</v>
      </c>
      <c r="W52" s="87">
        <f t="shared" ref="W52:W53" si="74">V52*(1+W$8)</f>
        <v>0</v>
      </c>
      <c r="X52" s="87">
        <f t="shared" ref="X52:X53" si="75">W52*(1+X$8)</f>
        <v>0</v>
      </c>
      <c r="Y52" s="87">
        <f t="shared" ref="Y52:Y53" si="76">X52*(1+Y$8)</f>
        <v>0</v>
      </c>
      <c r="Z52" s="87">
        <f t="shared" ref="Z52:Z53" si="77">Y52*(1+Z$8)</f>
        <v>0</v>
      </c>
      <c r="AA52" s="87">
        <f t="shared" ref="AA52:AA53" si="78">Z52*(1+AA$8)</f>
        <v>0</v>
      </c>
      <c r="AC52" s="87">
        <f t="shared" si="54"/>
        <v>0</v>
      </c>
      <c r="AD52" s="87">
        <f t="shared" si="54"/>
        <v>0</v>
      </c>
      <c r="AE52" s="87">
        <f t="shared" si="54"/>
        <v>0</v>
      </c>
      <c r="AF52" s="87">
        <f t="shared" si="54"/>
        <v>0</v>
      </c>
      <c r="AG52" s="87">
        <f t="shared" si="54"/>
        <v>0</v>
      </c>
      <c r="AH52" s="87">
        <f t="shared" si="54"/>
        <v>0</v>
      </c>
    </row>
    <row r="53" spans="1:34">
      <c r="A53" s="86" t="s">
        <v>97</v>
      </c>
      <c r="B53" s="49" t="s">
        <v>96</v>
      </c>
      <c r="D53" s="87">
        <f>Предположения!C76</f>
        <v>10</v>
      </c>
      <c r="E53" s="87">
        <f t="shared" si="56"/>
        <v>10.375782490910947</v>
      </c>
      <c r="F53" s="87">
        <f t="shared" si="57"/>
        <v>10.765686229869418</v>
      </c>
      <c r="G53" s="87">
        <f t="shared" si="58"/>
        <v>11.17024186865202</v>
      </c>
      <c r="H53" s="87">
        <f t="shared" si="59"/>
        <v>11.50149128743527</v>
      </c>
      <c r="I53" s="87">
        <f t="shared" si="60"/>
        <v>11.842563786034917</v>
      </c>
      <c r="J53" s="87">
        <f t="shared" si="61"/>
        <v>12.19375066427402</v>
      </c>
      <c r="K53" s="87">
        <f t="shared" si="62"/>
        <v>12.555351860364869</v>
      </c>
      <c r="L53" s="87">
        <f t="shared" si="63"/>
        <v>12.950618047456166</v>
      </c>
      <c r="M53" s="87">
        <f t="shared" si="64"/>
        <v>13.358327960569262</v>
      </c>
      <c r="N53" s="87">
        <f t="shared" si="65"/>
        <v>13.778873351699051</v>
      </c>
      <c r="O53" s="87">
        <f t="shared" si="66"/>
        <v>14.212658305933036</v>
      </c>
      <c r="P53" s="87">
        <f t="shared" si="67"/>
        <v>14.718033094992792</v>
      </c>
      <c r="Q53" s="87">
        <f t="shared" si="68"/>
        <v>15.241378039383067</v>
      </c>
      <c r="R53" s="87">
        <f t="shared" si="69"/>
        <v>15.783332123258973</v>
      </c>
      <c r="S53" s="87">
        <f t="shared" si="70"/>
        <v>16.344557051822992</v>
      </c>
      <c r="T53" s="87">
        <f t="shared" si="71"/>
        <v>16.635010751729748</v>
      </c>
      <c r="U53" s="87">
        <f t="shared" si="72"/>
        <v>16.930626007959017</v>
      </c>
      <c r="V53" s="87">
        <f t="shared" si="73"/>
        <v>17.231494544815497</v>
      </c>
      <c r="W53" s="87">
        <f t="shared" si="74"/>
        <v>17.537709716606066</v>
      </c>
      <c r="X53" s="87">
        <f t="shared" si="75"/>
        <v>17.820183777390842</v>
      </c>
      <c r="Y53" s="87">
        <f t="shared" si="76"/>
        <v>18.107207553976917</v>
      </c>
      <c r="Z53" s="87">
        <f t="shared" si="77"/>
        <v>18.398854327124354</v>
      </c>
      <c r="AA53" s="87">
        <f t="shared" si="78"/>
        <v>18.695198557902064</v>
      </c>
      <c r="AC53" s="87">
        <f t="shared" si="54"/>
        <v>42.311710589432387</v>
      </c>
      <c r="AD53" s="87">
        <f t="shared" si="54"/>
        <v>48.093157598109073</v>
      </c>
      <c r="AE53" s="87">
        <f t="shared" si="54"/>
        <v>54.30047766565751</v>
      </c>
      <c r="AF53" s="87">
        <f t="shared" si="54"/>
        <v>62.087300309457817</v>
      </c>
      <c r="AG53" s="87">
        <f t="shared" si="54"/>
        <v>68.334841021110321</v>
      </c>
      <c r="AH53" s="87">
        <f t="shared" si="54"/>
        <v>73.021444216394173</v>
      </c>
    </row>
    <row r="54" spans="1:34">
      <c r="A54" s="84" t="s">
        <v>144</v>
      </c>
      <c r="B54" s="84" t="s">
        <v>96</v>
      </c>
      <c r="C54" s="85"/>
      <c r="D54" s="85"/>
      <c r="E54" s="85">
        <f>SUM(E49:E51)</f>
        <v>10.375782490910947</v>
      </c>
      <c r="F54" s="85">
        <f t="shared" ref="F54:AA54" si="79">SUM(F49:F51)</f>
        <v>10.765686229869418</v>
      </c>
      <c r="G54" s="85">
        <f t="shared" si="79"/>
        <v>11.17024186865202</v>
      </c>
      <c r="H54" s="85">
        <f t="shared" si="79"/>
        <v>11.50149128743527</v>
      </c>
      <c r="I54" s="85">
        <f t="shared" si="79"/>
        <v>11.842563786034917</v>
      </c>
      <c r="J54" s="85">
        <f t="shared" si="79"/>
        <v>12.19375066427402</v>
      </c>
      <c r="K54" s="85">
        <f t="shared" si="79"/>
        <v>12.555351860364869</v>
      </c>
      <c r="L54" s="85">
        <f t="shared" si="79"/>
        <v>12.950618047456166</v>
      </c>
      <c r="M54" s="85">
        <f t="shared" si="79"/>
        <v>13.358327960569262</v>
      </c>
      <c r="N54" s="85">
        <f t="shared" si="79"/>
        <v>13.778873351699051</v>
      </c>
      <c r="O54" s="85">
        <f t="shared" si="79"/>
        <v>14.212658305933036</v>
      </c>
      <c r="P54" s="85">
        <f t="shared" si="79"/>
        <v>14.718033094992792</v>
      </c>
      <c r="Q54" s="85">
        <f t="shared" si="79"/>
        <v>15.241378039383067</v>
      </c>
      <c r="R54" s="85">
        <f t="shared" si="79"/>
        <v>15.783332123258973</v>
      </c>
      <c r="S54" s="85">
        <f t="shared" si="79"/>
        <v>16.344557051822992</v>
      </c>
      <c r="T54" s="85">
        <f t="shared" si="79"/>
        <v>16.635010751729748</v>
      </c>
      <c r="U54" s="85">
        <f t="shared" si="79"/>
        <v>16.930626007959017</v>
      </c>
      <c r="V54" s="85">
        <f t="shared" si="79"/>
        <v>17.231494544815497</v>
      </c>
      <c r="W54" s="85">
        <f t="shared" si="79"/>
        <v>17.537709716606066</v>
      </c>
      <c r="X54" s="85">
        <f t="shared" si="79"/>
        <v>17.820183777390842</v>
      </c>
      <c r="Y54" s="85">
        <f t="shared" si="79"/>
        <v>18.107207553976917</v>
      </c>
      <c r="Z54" s="85">
        <f t="shared" si="79"/>
        <v>18.398854327124354</v>
      </c>
      <c r="AA54" s="85">
        <f t="shared" si="79"/>
        <v>18.695198557902064</v>
      </c>
      <c r="AC54" s="85">
        <f t="shared" si="54"/>
        <v>32.311710589432387</v>
      </c>
      <c r="AD54" s="85">
        <f t="shared" si="54"/>
        <v>48.093157598109073</v>
      </c>
      <c r="AE54" s="85">
        <f t="shared" si="54"/>
        <v>54.30047766565751</v>
      </c>
      <c r="AF54" s="85">
        <f t="shared" si="54"/>
        <v>62.087300309457817</v>
      </c>
      <c r="AG54" s="85">
        <f t="shared" si="54"/>
        <v>68.334841021110321</v>
      </c>
      <c r="AH54" s="85">
        <f t="shared" si="54"/>
        <v>73.021444216394173</v>
      </c>
    </row>
    <row r="55" spans="1:34">
      <c r="A55" s="39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C55" s="40"/>
      <c r="AD55" s="40"/>
      <c r="AE55" s="40"/>
      <c r="AF55" s="40"/>
      <c r="AG55" s="40"/>
      <c r="AH55" s="40"/>
    </row>
    <row r="56" spans="1:34">
      <c r="A56" s="81" t="s">
        <v>145</v>
      </c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C56" s="82"/>
      <c r="AD56" s="82"/>
      <c r="AE56" s="82"/>
      <c r="AF56" s="82"/>
      <c r="AG56" s="82"/>
      <c r="AH56" s="82"/>
    </row>
    <row r="57" spans="1:34">
      <c r="A57" s="42" t="s">
        <v>146</v>
      </c>
      <c r="B57" s="39" t="s">
        <v>96</v>
      </c>
      <c r="C57" s="40"/>
      <c r="D57" s="40">
        <f>Персонал!D50</f>
        <v>0</v>
      </c>
      <c r="E57" s="40">
        <f>Персонал!E50</f>
        <v>1142.5050000000001</v>
      </c>
      <c r="F57" s="40">
        <f>Персонал!F50</f>
        <v>1142.5050000000001</v>
      </c>
      <c r="G57" s="40">
        <f>Персонал!G50</f>
        <v>1142.5050000000001</v>
      </c>
      <c r="H57" s="40">
        <f>Персонал!H50</f>
        <v>1142.5050000000001</v>
      </c>
      <c r="I57" s="40">
        <f>Персонал!I50</f>
        <v>1142.5050000000001</v>
      </c>
      <c r="J57" s="40">
        <f>Персонал!J50</f>
        <v>1142.5050000000001</v>
      </c>
      <c r="K57" s="40">
        <f>Персонал!K50</f>
        <v>1142.5050000000001</v>
      </c>
      <c r="L57" s="40">
        <f>Персонал!L50</f>
        <v>1142.5050000000001</v>
      </c>
      <c r="M57" s="40">
        <f>Персонал!M50</f>
        <v>1142.5050000000001</v>
      </c>
      <c r="N57" s="40">
        <f>Персонал!N50</f>
        <v>1142.5050000000001</v>
      </c>
      <c r="O57" s="40">
        <f>Персонал!O50</f>
        <v>1142.5050000000001</v>
      </c>
      <c r="P57" s="40">
        <f>Персонал!P50</f>
        <v>1142.5050000000001</v>
      </c>
      <c r="Q57" s="40">
        <f>Персонал!Q50</f>
        <v>1142.5050000000001</v>
      </c>
      <c r="R57" s="40">
        <f>Персонал!R50</f>
        <v>1142.5050000000001</v>
      </c>
      <c r="S57" s="40">
        <f>Персонал!S50</f>
        <v>1142.5050000000001</v>
      </c>
      <c r="T57" s="40">
        <f>Персонал!T50</f>
        <v>1142.5050000000001</v>
      </c>
      <c r="U57" s="40">
        <f>Персонал!U50</f>
        <v>1142.5050000000001</v>
      </c>
      <c r="V57" s="40">
        <f>Персонал!V50</f>
        <v>1142.5050000000001</v>
      </c>
      <c r="W57" s="40">
        <f>Персонал!W50</f>
        <v>1142.5050000000001</v>
      </c>
      <c r="X57" s="40">
        <f>Персонал!X50</f>
        <v>1142.5050000000001</v>
      </c>
      <c r="Y57" s="40">
        <f>Персонал!Y50</f>
        <v>1142.5050000000001</v>
      </c>
      <c r="Z57" s="40">
        <f>Персонал!Z50</f>
        <v>1142.5050000000001</v>
      </c>
      <c r="AA57" s="40">
        <f>Персонал!AA50</f>
        <v>1142.5050000000001</v>
      </c>
      <c r="AC57" s="40">
        <f t="shared" ref="AC57:AH60" si="80">SUMIF($D$4:$AA$4,AC$5,$D57:$AA57)</f>
        <v>3427.5150000000003</v>
      </c>
      <c r="AD57" s="40">
        <f t="shared" si="80"/>
        <v>4570.0200000000004</v>
      </c>
      <c r="AE57" s="40">
        <f t="shared" si="80"/>
        <v>4570.0200000000004</v>
      </c>
      <c r="AF57" s="40">
        <f t="shared" si="80"/>
        <v>4570.0200000000004</v>
      </c>
      <c r="AG57" s="40">
        <f t="shared" si="80"/>
        <v>4570.0200000000004</v>
      </c>
      <c r="AH57" s="40">
        <f t="shared" si="80"/>
        <v>4570.0200000000004</v>
      </c>
    </row>
    <row r="58" spans="1:34">
      <c r="A58" s="42" t="s">
        <v>147</v>
      </c>
      <c r="B58" s="39" t="s">
        <v>96</v>
      </c>
      <c r="C58" s="40"/>
      <c r="D58" s="40">
        <f>Персонал!D53</f>
        <v>0</v>
      </c>
      <c r="E58" s="40">
        <f>Персонал!E53</f>
        <v>0</v>
      </c>
      <c r="F58" s="40">
        <f>Персонал!F53</f>
        <v>0</v>
      </c>
      <c r="G58" s="40">
        <f>Персонал!G53</f>
        <v>0</v>
      </c>
      <c r="H58" s="40">
        <f>Персонал!H53</f>
        <v>0</v>
      </c>
      <c r="I58" s="40">
        <f>Персонал!I53</f>
        <v>0</v>
      </c>
      <c r="J58" s="40">
        <f>Персонал!J53</f>
        <v>0</v>
      </c>
      <c r="K58" s="40">
        <f>Персонал!K53</f>
        <v>0</v>
      </c>
      <c r="L58" s="40">
        <f>Персонал!L53</f>
        <v>0</v>
      </c>
      <c r="M58" s="40">
        <f>Персонал!M53</f>
        <v>0</v>
      </c>
      <c r="N58" s="40">
        <f>Персонал!N53</f>
        <v>0</v>
      </c>
      <c r="O58" s="40">
        <f>Персонал!O53</f>
        <v>0</v>
      </c>
      <c r="P58" s="40">
        <f>Персонал!P53</f>
        <v>0</v>
      </c>
      <c r="Q58" s="40">
        <f>Персонал!Q53</f>
        <v>0</v>
      </c>
      <c r="R58" s="40">
        <f>Персонал!R53</f>
        <v>0</v>
      </c>
      <c r="S58" s="40">
        <f>Персонал!S53</f>
        <v>0</v>
      </c>
      <c r="T58" s="40">
        <f>Персонал!T53</f>
        <v>0</v>
      </c>
      <c r="U58" s="40">
        <f>Персонал!U53</f>
        <v>0</v>
      </c>
      <c r="V58" s="40">
        <f>Персонал!V53</f>
        <v>0</v>
      </c>
      <c r="W58" s="40">
        <f>Персонал!W53</f>
        <v>0</v>
      </c>
      <c r="X58" s="40">
        <f>Персонал!X53</f>
        <v>0</v>
      </c>
      <c r="Y58" s="40">
        <f>Персонал!Y53</f>
        <v>0</v>
      </c>
      <c r="Z58" s="40">
        <f>Персонал!Z53</f>
        <v>0</v>
      </c>
      <c r="AA58" s="40">
        <f>Персонал!AA53</f>
        <v>0</v>
      </c>
      <c r="AC58" s="40">
        <f t="shared" si="80"/>
        <v>0</v>
      </c>
      <c r="AD58" s="40">
        <f t="shared" si="80"/>
        <v>0</v>
      </c>
      <c r="AE58" s="40">
        <f t="shared" si="80"/>
        <v>0</v>
      </c>
      <c r="AF58" s="40">
        <f t="shared" si="80"/>
        <v>0</v>
      </c>
      <c r="AG58" s="40">
        <f t="shared" si="80"/>
        <v>0</v>
      </c>
      <c r="AH58" s="40">
        <f t="shared" si="80"/>
        <v>0</v>
      </c>
    </row>
    <row r="59" spans="1:34">
      <c r="A59" s="42" t="s">
        <v>148</v>
      </c>
      <c r="B59" s="39" t="s">
        <v>96</v>
      </c>
      <c r="C59" s="40"/>
      <c r="D59" s="40">
        <f>Предположения!E15*Инвестиции!D39</f>
        <v>0</v>
      </c>
      <c r="E59" s="40">
        <f>Предположения!F15*Инвестиции!E39*E6</f>
        <v>0</v>
      </c>
      <c r="F59" s="40">
        <f>Предположения!G15*Инвестиции!F39*F6</f>
        <v>0</v>
      </c>
      <c r="G59" s="40">
        <f>Предположения!H15*Инвестиции!G39*G6</f>
        <v>0</v>
      </c>
      <c r="H59" s="40">
        <f>Предположения!I15*Инвестиции!H39*H6</f>
        <v>0</v>
      </c>
      <c r="I59" s="40">
        <f>Предположения!J15*Инвестиции!I39*I6</f>
        <v>0</v>
      </c>
      <c r="J59" s="40">
        <f>Предположения!K15*Инвестиции!J39*J6</f>
        <v>0</v>
      </c>
      <c r="K59" s="40">
        <f>Предположения!L15*Инвестиции!K39*K6</f>
        <v>0</v>
      </c>
      <c r="L59" s="40">
        <f>Предположения!M15*Инвестиции!L39*L6</f>
        <v>0</v>
      </c>
      <c r="M59" s="40">
        <f>Предположения!N15*Инвестиции!M39*M6</f>
        <v>0</v>
      </c>
      <c r="N59" s="40">
        <f>Предположения!O15*Инвестиции!N39*N6</f>
        <v>0</v>
      </c>
      <c r="O59" s="40">
        <f>Предположения!P15*Инвестиции!O39*O6</f>
        <v>0</v>
      </c>
      <c r="P59" s="40">
        <f>Предположения!Q15*Инвестиции!P39*P6</f>
        <v>0</v>
      </c>
      <c r="Q59" s="40">
        <f>Предположения!R15*Инвестиции!Q39*Q6</f>
        <v>0</v>
      </c>
      <c r="R59" s="40">
        <f>Предположения!S15*Инвестиции!R39*R6</f>
        <v>0</v>
      </c>
      <c r="S59" s="40">
        <f>Предположения!T15*Инвестиции!S39*S6</f>
        <v>0</v>
      </c>
      <c r="T59" s="40">
        <f>Предположения!U15*Инвестиции!T39*T6</f>
        <v>0</v>
      </c>
      <c r="U59" s="40">
        <f>Предположения!V15*Инвестиции!U39*U6</f>
        <v>0</v>
      </c>
      <c r="V59" s="40">
        <f>Предположения!W15*Инвестиции!V39*V6</f>
        <v>0</v>
      </c>
      <c r="W59" s="40">
        <f>Предположения!X15*Инвестиции!W39*W6</f>
        <v>0</v>
      </c>
      <c r="X59" s="40">
        <f>Предположения!Y15*Инвестиции!X39*X6</f>
        <v>0</v>
      </c>
      <c r="Y59" s="40">
        <f>Предположения!Z15*Инвестиции!Y39*Y6</f>
        <v>0</v>
      </c>
      <c r="Z59" s="40">
        <f>Предположения!AA15*Инвестиции!Z39*Z6</f>
        <v>0</v>
      </c>
      <c r="AA59" s="40">
        <f>Предположения!AB15*Инвестиции!AA39*AA6</f>
        <v>0</v>
      </c>
      <c r="AC59" s="40">
        <f t="shared" si="80"/>
        <v>0</v>
      </c>
      <c r="AD59" s="40">
        <f t="shared" si="80"/>
        <v>0</v>
      </c>
      <c r="AE59" s="40">
        <f t="shared" si="80"/>
        <v>0</v>
      </c>
      <c r="AF59" s="40">
        <f t="shared" si="80"/>
        <v>0</v>
      </c>
      <c r="AG59" s="40">
        <f t="shared" si="80"/>
        <v>0</v>
      </c>
      <c r="AH59" s="40">
        <f t="shared" si="80"/>
        <v>0</v>
      </c>
    </row>
    <row r="60" spans="1:34">
      <c r="A60" s="42" t="s">
        <v>149</v>
      </c>
      <c r="B60" s="39" t="s">
        <v>96</v>
      </c>
      <c r="C60" s="40"/>
      <c r="D60" s="40">
        <f t="shared" ref="D60:AA60" si="81">D61*D62*D6</f>
        <v>0</v>
      </c>
      <c r="E60" s="40">
        <f t="shared" si="81"/>
        <v>0</v>
      </c>
      <c r="F60" s="40">
        <f t="shared" si="81"/>
        <v>0</v>
      </c>
      <c r="G60" s="40">
        <f t="shared" si="81"/>
        <v>0</v>
      </c>
      <c r="H60" s="40">
        <f t="shared" si="81"/>
        <v>0</v>
      </c>
      <c r="I60" s="40">
        <f t="shared" si="81"/>
        <v>0</v>
      </c>
      <c r="J60" s="40">
        <f t="shared" si="81"/>
        <v>0</v>
      </c>
      <c r="K60" s="40">
        <f t="shared" si="81"/>
        <v>0</v>
      </c>
      <c r="L60" s="40">
        <f t="shared" si="81"/>
        <v>0</v>
      </c>
      <c r="M60" s="40">
        <f t="shared" si="81"/>
        <v>0</v>
      </c>
      <c r="N60" s="40">
        <f t="shared" si="81"/>
        <v>0</v>
      </c>
      <c r="O60" s="40">
        <f t="shared" si="81"/>
        <v>0</v>
      </c>
      <c r="P60" s="40">
        <f t="shared" si="81"/>
        <v>0</v>
      </c>
      <c r="Q60" s="40">
        <f t="shared" si="81"/>
        <v>0</v>
      </c>
      <c r="R60" s="40">
        <f t="shared" si="81"/>
        <v>0</v>
      </c>
      <c r="S60" s="40">
        <f t="shared" si="81"/>
        <v>0</v>
      </c>
      <c r="T60" s="40">
        <f t="shared" si="81"/>
        <v>0</v>
      </c>
      <c r="U60" s="40">
        <f t="shared" si="81"/>
        <v>0</v>
      </c>
      <c r="V60" s="40">
        <f t="shared" si="81"/>
        <v>0</v>
      </c>
      <c r="W60" s="40">
        <f t="shared" si="81"/>
        <v>0</v>
      </c>
      <c r="X60" s="40">
        <f t="shared" si="81"/>
        <v>0</v>
      </c>
      <c r="Y60" s="40">
        <f t="shared" si="81"/>
        <v>0</v>
      </c>
      <c r="Z60" s="40">
        <f t="shared" si="81"/>
        <v>0</v>
      </c>
      <c r="AA60" s="40">
        <f t="shared" si="81"/>
        <v>0</v>
      </c>
      <c r="AC60" s="40">
        <f t="shared" si="80"/>
        <v>0</v>
      </c>
      <c r="AD60" s="40">
        <f t="shared" si="80"/>
        <v>0</v>
      </c>
      <c r="AE60" s="40">
        <f t="shared" si="80"/>
        <v>0</v>
      </c>
      <c r="AF60" s="40">
        <f t="shared" si="80"/>
        <v>0</v>
      </c>
      <c r="AG60" s="40">
        <f t="shared" si="80"/>
        <v>0</v>
      </c>
      <c r="AH60" s="40">
        <f t="shared" si="80"/>
        <v>0</v>
      </c>
    </row>
    <row r="61" spans="1:34">
      <c r="A61" s="86" t="s">
        <v>150</v>
      </c>
      <c r="B61" s="49" t="s">
        <v>151</v>
      </c>
      <c r="D61" s="87"/>
      <c r="E61" s="87">
        <f>Предположения!$C$79*Персонал!E21</f>
        <v>0</v>
      </c>
      <c r="F61" s="87">
        <f>Предположения!$C$79*Персонал!F21</f>
        <v>0</v>
      </c>
      <c r="G61" s="87">
        <f>Предположения!$C$79*Персонал!G21</f>
        <v>0</v>
      </c>
      <c r="H61" s="87">
        <f>Предположения!$C$79*Персонал!H21</f>
        <v>0</v>
      </c>
      <c r="I61" s="87">
        <f>Предположения!$C$79*Персонал!I21</f>
        <v>0</v>
      </c>
      <c r="J61" s="87">
        <f>Предположения!$C$79*Персонал!J21</f>
        <v>0</v>
      </c>
      <c r="K61" s="87">
        <f>Предположения!$C$79*Персонал!K21</f>
        <v>0</v>
      </c>
      <c r="L61" s="87">
        <f>Предположения!$C$79*Персонал!L21</f>
        <v>0</v>
      </c>
      <c r="M61" s="87">
        <f>Предположения!$C$79*Персонал!M21</f>
        <v>0</v>
      </c>
      <c r="N61" s="87">
        <f>Предположения!$C$79*Персонал!N21</f>
        <v>0</v>
      </c>
      <c r="O61" s="87">
        <f>Предположения!$C$79*Персонал!O21</f>
        <v>0</v>
      </c>
      <c r="P61" s="87">
        <f>Предположения!$C$79*Персонал!P21</f>
        <v>0</v>
      </c>
      <c r="Q61" s="87">
        <f>Предположения!$C$79*Персонал!Q21</f>
        <v>0</v>
      </c>
      <c r="R61" s="87">
        <f>Предположения!$C$79*Персонал!R21</f>
        <v>0</v>
      </c>
      <c r="S61" s="87">
        <f>Предположения!$C$79*Персонал!S21</f>
        <v>0</v>
      </c>
      <c r="T61" s="87">
        <f>Предположения!$C$79*Персонал!T21</f>
        <v>0</v>
      </c>
      <c r="U61" s="87">
        <f>Предположения!$C$79*Персонал!U21</f>
        <v>0</v>
      </c>
      <c r="V61" s="87">
        <f>Предположения!$C$79*Персонал!V21</f>
        <v>0</v>
      </c>
      <c r="W61" s="87">
        <f>Предположения!$C$79*Персонал!W21</f>
        <v>0</v>
      </c>
      <c r="X61" s="87">
        <f>Предположения!$C$79*Персонал!X21</f>
        <v>0</v>
      </c>
      <c r="Y61" s="87">
        <f>Предположения!$C$79*Персонал!Y21</f>
        <v>0</v>
      </c>
      <c r="Z61" s="87">
        <f>Предположения!$C$79*Персонал!Z21</f>
        <v>0</v>
      </c>
      <c r="AA61" s="87">
        <f>Предположения!$C$79*Персонал!AA21</f>
        <v>0</v>
      </c>
      <c r="AC61" s="83">
        <f t="shared" ref="AC61:AH62" si="82">AVERAGEIF($D$4:$AA$4,AC$5,$D61:$AA61)</f>
        <v>0</v>
      </c>
      <c r="AD61" s="83">
        <f t="shared" si="82"/>
        <v>0</v>
      </c>
      <c r="AE61" s="83">
        <f t="shared" si="82"/>
        <v>0</v>
      </c>
      <c r="AF61" s="83">
        <f t="shared" si="82"/>
        <v>0</v>
      </c>
      <c r="AG61" s="83">
        <f t="shared" si="82"/>
        <v>0</v>
      </c>
      <c r="AH61" s="83">
        <f t="shared" si="82"/>
        <v>0</v>
      </c>
    </row>
    <row r="62" spans="1:34">
      <c r="A62" s="86" t="str">
        <f>Предположения!A80</f>
        <v>Годовая арендная ставка</v>
      </c>
      <c r="B62" s="49" t="str">
        <f>Предположения!B80</f>
        <v>тыс. руб./кв. м</v>
      </c>
      <c r="D62" s="83">
        <f>Предположения!$C$80</f>
        <v>15.115384615384613</v>
      </c>
      <c r="E62" s="83">
        <f>D62*(1+E$8)</f>
        <v>15.683394303569237</v>
      </c>
      <c r="F62" s="83">
        <f>E62*(1+F$8)</f>
        <v>16.272748801302619</v>
      </c>
      <c r="G62" s="83">
        <f t="shared" ref="G62:O62" si="83">F62*(1+G$8)</f>
        <v>16.884250209154782</v>
      </c>
      <c r="H62" s="83">
        <f t="shared" si="83"/>
        <v>17.384946446007927</v>
      </c>
      <c r="I62" s="83">
        <f t="shared" si="83"/>
        <v>17.900490645814319</v>
      </c>
      <c r="J62" s="83">
        <f t="shared" si="83"/>
        <v>18.431323119460348</v>
      </c>
      <c r="K62" s="83">
        <f t="shared" si="83"/>
        <v>18.977897235089976</v>
      </c>
      <c r="L62" s="83">
        <f t="shared" si="83"/>
        <v>19.575357279424129</v>
      </c>
      <c r="M62" s="83">
        <f t="shared" si="83"/>
        <v>20.191626494245082</v>
      </c>
      <c r="N62" s="83">
        <f t="shared" si="83"/>
        <v>20.827297027760494</v>
      </c>
      <c r="O62" s="83">
        <f t="shared" si="83"/>
        <v>21.482979670121864</v>
      </c>
      <c r="P62" s="83">
        <f t="shared" ref="P62:AA62" si="84">O62*(1+P$8)</f>
        <v>22.246873101277572</v>
      </c>
      <c r="Q62" s="83">
        <f t="shared" si="84"/>
        <v>23.037929113375178</v>
      </c>
      <c r="R62" s="83">
        <f t="shared" si="84"/>
        <v>23.857113555541449</v>
      </c>
      <c r="S62" s="83">
        <f t="shared" si="84"/>
        <v>24.705426620640139</v>
      </c>
      <c r="T62" s="83">
        <f t="shared" si="84"/>
        <v>25.144458559345352</v>
      </c>
      <c r="U62" s="83">
        <f t="shared" si="84"/>
        <v>25.591292388953441</v>
      </c>
      <c r="V62" s="83">
        <f t="shared" si="84"/>
        <v>26.046066754278812</v>
      </c>
      <c r="W62" s="83">
        <f t="shared" si="84"/>
        <v>26.508922763946863</v>
      </c>
      <c r="X62" s="83">
        <f t="shared" si="84"/>
        <v>26.935893171210008</v>
      </c>
      <c r="Y62" s="83">
        <f t="shared" si="84"/>
        <v>27.369740648895885</v>
      </c>
      <c r="Z62" s="83">
        <f t="shared" si="84"/>
        <v>27.810575963691821</v>
      </c>
      <c r="AA62" s="83">
        <f t="shared" si="84"/>
        <v>28.258511666367358</v>
      </c>
      <c r="AC62" s="83">
        <f t="shared" si="82"/>
        <v>15.988944482352814</v>
      </c>
      <c r="AD62" s="83">
        <f t="shared" si="82"/>
        <v>18.17366436159314</v>
      </c>
      <c r="AE62" s="83">
        <f t="shared" si="82"/>
        <v>20.519315117887892</v>
      </c>
      <c r="AF62" s="83">
        <f t="shared" si="82"/>
        <v>23.461835597708586</v>
      </c>
      <c r="AG62" s="83">
        <f t="shared" si="82"/>
        <v>25.822685116631114</v>
      </c>
      <c r="AH62" s="83">
        <f t="shared" si="82"/>
        <v>27.593680362541267</v>
      </c>
    </row>
    <row r="63" spans="1:34">
      <c r="A63" s="42" t="s">
        <v>152</v>
      </c>
      <c r="B63" s="39" t="s">
        <v>96</v>
      </c>
      <c r="D63" s="40">
        <f>Предположения!$C$81*Выручка!D$37</f>
        <v>0</v>
      </c>
      <c r="E63" s="40">
        <f>Предположения!$C$81*Выручка!E$37</f>
        <v>0</v>
      </c>
      <c r="F63" s="40">
        <f>Предположения!$C$81*Выручка!F$37</f>
        <v>0.43476809774472652</v>
      </c>
      <c r="G63" s="40">
        <f>Предположения!$C$81*Выручка!G$37</f>
        <v>0</v>
      </c>
      <c r="H63" s="40">
        <f>Предположения!$C$81*Выручка!H$37</f>
        <v>7.8033194734753133</v>
      </c>
      <c r="I63" s="40">
        <f>Предположения!$C$81*Выручка!I$37</f>
        <v>10.506946828864354</v>
      </c>
      <c r="J63" s="40">
        <f>Предположения!$C$81*Выручка!J$37</f>
        <v>13.364062118561149</v>
      </c>
      <c r="K63" s="40">
        <f>Предположения!$C$81*Выручка!K$37</f>
        <v>16.381391036748248</v>
      </c>
      <c r="L63" s="40">
        <f>Предположения!$C$81*Выручка!L$37</f>
        <v>19.60064546851088</v>
      </c>
      <c r="M63" s="40">
        <f>Предположения!$C$81*Выручка!M$37</f>
        <v>23.006360569250234</v>
      </c>
      <c r="N63" s="40">
        <f>Предположения!$C$81*Выручка!N$37</f>
        <v>26.607085973925848</v>
      </c>
      <c r="O63" s="40">
        <f>Предположения!$C$81*Выручка!O$37</f>
        <v>30.411724831902394</v>
      </c>
      <c r="P63" s="40">
        <f>Предположения!$C$81*Выручка!P$37</f>
        <v>34.565605534926867</v>
      </c>
      <c r="Q63" s="40">
        <f>Предположения!$C$81*Выручка!Q$37</f>
        <v>38.976442373139491</v>
      </c>
      <c r="R63" s="40">
        <f>Предположения!$C$81*Выручка!R$37</f>
        <v>43.657257007920947</v>
      </c>
      <c r="S63" s="40">
        <f>Предположения!$C$81*Выручка!S$37</f>
        <v>48.621672261736641</v>
      </c>
      <c r="T63" s="40">
        <f>Предположения!$C$81*Выручка!T$37</f>
        <v>52.958393400270062</v>
      </c>
      <c r="U63" s="40">
        <f>Предположения!$C$81*Выручка!U$37</f>
        <v>57.433892842384061</v>
      </c>
      <c r="V63" s="40">
        <f>Предположения!$C$81*Выручка!V$37</f>
        <v>58.454531494335654</v>
      </c>
      <c r="W63" s="40">
        <f>Предположения!$C$81*Выручка!W$37</f>
        <v>59.493307577102122</v>
      </c>
      <c r="X63" s="40">
        <f>Предположения!$C$81*Выручка!X$37</f>
        <v>60.451546506379714</v>
      </c>
      <c r="Y63" s="40">
        <f>Предположения!$C$81*Выручка!Y$37</f>
        <v>61.425219471567871</v>
      </c>
      <c r="Z63" s="40">
        <f>Предположения!$C$81*Выручка!Z$37</f>
        <v>62.41457506355264</v>
      </c>
      <c r="AA63" s="40">
        <f>Предположения!$C$81*Выручка!AA$37</f>
        <v>63.41986587719088</v>
      </c>
      <c r="AC63" s="40">
        <f t="shared" ref="AC63:AH68" si="85">SUMIF($D$4:$AA$4,AC$5,$D63:$AA63)</f>
        <v>0.43476809774472652</v>
      </c>
      <c r="AD63" s="40">
        <f t="shared" si="85"/>
        <v>48.055719457649062</v>
      </c>
      <c r="AE63" s="40">
        <f t="shared" si="85"/>
        <v>99.625816843589348</v>
      </c>
      <c r="AF63" s="40">
        <f t="shared" si="85"/>
        <v>165.82097717772396</v>
      </c>
      <c r="AG63" s="40">
        <f t="shared" si="85"/>
        <v>228.34012531409189</v>
      </c>
      <c r="AH63" s="40">
        <f t="shared" si="85"/>
        <v>247.71120691869112</v>
      </c>
    </row>
    <row r="64" spans="1:34">
      <c r="A64" s="84" t="s">
        <v>153</v>
      </c>
      <c r="B64" s="84" t="s">
        <v>96</v>
      </c>
      <c r="C64" s="85"/>
      <c r="D64" s="85"/>
      <c r="E64" s="85">
        <f t="shared" ref="E64:W64" si="86">SUM(,E57:E60,E63:E63)</f>
        <v>1142.5050000000001</v>
      </c>
      <c r="F64" s="85">
        <f t="shared" si="86"/>
        <v>1142.9397680977449</v>
      </c>
      <c r="G64" s="85">
        <f t="shared" si="86"/>
        <v>1142.5050000000001</v>
      </c>
      <c r="H64" s="85">
        <f t="shared" si="86"/>
        <v>1150.3083194734754</v>
      </c>
      <c r="I64" s="85">
        <f t="shared" si="86"/>
        <v>1153.0119468288644</v>
      </c>
      <c r="J64" s="85">
        <f t="shared" si="86"/>
        <v>1155.8690621185613</v>
      </c>
      <c r="K64" s="85">
        <f t="shared" si="86"/>
        <v>1158.8863910367484</v>
      </c>
      <c r="L64" s="85">
        <f t="shared" si="86"/>
        <v>1162.1056454685111</v>
      </c>
      <c r="M64" s="85">
        <f t="shared" si="86"/>
        <v>1165.5113605692504</v>
      </c>
      <c r="N64" s="85">
        <f t="shared" si="86"/>
        <v>1169.112085973926</v>
      </c>
      <c r="O64" s="85">
        <f t="shared" si="86"/>
        <v>1172.9167248319025</v>
      </c>
      <c r="P64" s="85">
        <f t="shared" si="86"/>
        <v>1177.0706055349269</v>
      </c>
      <c r="Q64" s="85">
        <f t="shared" si="86"/>
        <v>1181.4814423731395</v>
      </c>
      <c r="R64" s="85">
        <f t="shared" si="86"/>
        <v>1186.162257007921</v>
      </c>
      <c r="S64" s="85">
        <f t="shared" si="86"/>
        <v>1191.1266722617368</v>
      </c>
      <c r="T64" s="85">
        <f t="shared" si="86"/>
        <v>1195.4633934002702</v>
      </c>
      <c r="U64" s="85">
        <f t="shared" si="86"/>
        <v>1199.9388928423841</v>
      </c>
      <c r="V64" s="85">
        <f t="shared" si="86"/>
        <v>1200.9595314943358</v>
      </c>
      <c r="W64" s="85">
        <f t="shared" si="86"/>
        <v>1201.9983075771022</v>
      </c>
      <c r="X64" s="85">
        <f t="shared" ref="X64:AA64" si="87">SUM(,X57:X60,X63:X63)</f>
        <v>1202.9565465063797</v>
      </c>
      <c r="Y64" s="85">
        <f t="shared" si="87"/>
        <v>1203.9302194715681</v>
      </c>
      <c r="Z64" s="85">
        <f t="shared" si="87"/>
        <v>1204.9195750635527</v>
      </c>
      <c r="AA64" s="85">
        <f t="shared" si="87"/>
        <v>1205.924865877191</v>
      </c>
      <c r="AC64" s="85">
        <f t="shared" si="85"/>
        <v>3427.9497680977452</v>
      </c>
      <c r="AD64" s="85">
        <f t="shared" si="85"/>
        <v>4618.075719457649</v>
      </c>
      <c r="AE64" s="85">
        <f t="shared" si="85"/>
        <v>4669.6458168435902</v>
      </c>
      <c r="AF64" s="85">
        <f t="shared" si="85"/>
        <v>4735.8409771777242</v>
      </c>
      <c r="AG64" s="85">
        <f t="shared" si="85"/>
        <v>4798.3601253140923</v>
      </c>
      <c r="AH64" s="85">
        <f t="shared" si="85"/>
        <v>4817.7312069186919</v>
      </c>
    </row>
    <row r="65" spans="1:34">
      <c r="A65" s="39"/>
      <c r="B65" s="39"/>
      <c r="C65" s="40"/>
      <c r="D65" s="40"/>
      <c r="E65" s="40"/>
      <c r="F65" s="40"/>
      <c r="G65" s="40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C65" s="11"/>
      <c r="AD65" s="11"/>
      <c r="AE65" s="11"/>
      <c r="AF65" s="11"/>
      <c r="AG65" s="11"/>
      <c r="AH65" s="11"/>
    </row>
    <row r="66" spans="1:34">
      <c r="A66" s="84" t="s">
        <v>154</v>
      </c>
      <c r="B66" s="84" t="s">
        <v>96</v>
      </c>
      <c r="C66" s="85"/>
      <c r="D66" s="85">
        <f t="shared" ref="D66:W66" si="88">SUM(D64,D54,D46)</f>
        <v>0</v>
      </c>
      <c r="E66" s="85">
        <f t="shared" si="88"/>
        <v>1152.8807824909111</v>
      </c>
      <c r="F66" s="85">
        <f t="shared" si="88"/>
        <v>1193.7041193201294</v>
      </c>
      <c r="G66" s="85">
        <f t="shared" si="88"/>
        <v>1173.0752418686523</v>
      </c>
      <c r="H66" s="85">
        <f t="shared" si="88"/>
        <v>1528.5658260142504</v>
      </c>
      <c r="I66" s="85">
        <f t="shared" si="88"/>
        <v>1658.6810115715239</v>
      </c>
      <c r="J66" s="85">
        <f t="shared" si="88"/>
        <v>1796.1737323552093</v>
      </c>
      <c r="K66" s="85">
        <f t="shared" si="88"/>
        <v>1960.7671216242809</v>
      </c>
      <c r="L66" s="85">
        <f t="shared" si="88"/>
        <v>2096.2866005359783</v>
      </c>
      <c r="M66" s="85">
        <f t="shared" si="88"/>
        <v>2260.1686352845809</v>
      </c>
      <c r="N66" s="85">
        <f t="shared" si="88"/>
        <v>2433.4240001001399</v>
      </c>
      <c r="O66" s="85">
        <f t="shared" si="88"/>
        <v>2635.8804502372486</v>
      </c>
      <c r="P66" s="85">
        <f t="shared" si="88"/>
        <v>2816.3720987714823</v>
      </c>
      <c r="Q66" s="85">
        <f t="shared" si="88"/>
        <v>3028.6156119500793</v>
      </c>
      <c r="R66" s="85">
        <f t="shared" si="88"/>
        <v>3253.8366685034653</v>
      </c>
      <c r="S66" s="85">
        <f t="shared" si="88"/>
        <v>3512.0898256151822</v>
      </c>
      <c r="T66" s="85">
        <f t="shared" si="88"/>
        <v>3701.1428939646939</v>
      </c>
      <c r="U66" s="85">
        <f t="shared" si="88"/>
        <v>3916.2624824423947</v>
      </c>
      <c r="V66" s="85">
        <f t="shared" si="88"/>
        <v>3965.5540062729278</v>
      </c>
      <c r="W66" s="85">
        <f t="shared" si="88"/>
        <v>4035.1214734175092</v>
      </c>
      <c r="X66" s="85">
        <f t="shared" ref="X66:AA66" si="89">SUM(X64,X54,X46)</f>
        <v>4061.9994160836181</v>
      </c>
      <c r="Y66" s="85">
        <f t="shared" si="89"/>
        <v>4109.022742189235</v>
      </c>
      <c r="Z66" s="85">
        <f t="shared" si="89"/>
        <v>4156.8034573776513</v>
      </c>
      <c r="AA66" s="85">
        <f t="shared" si="89"/>
        <v>4224.7537606630649</v>
      </c>
      <c r="AC66" s="85">
        <f t="shared" si="85"/>
        <v>3519.6601436796927</v>
      </c>
      <c r="AD66" s="85">
        <f t="shared" si="85"/>
        <v>6944.1876915652638</v>
      </c>
      <c r="AE66" s="85">
        <f t="shared" si="85"/>
        <v>9425.7596861579477</v>
      </c>
      <c r="AF66" s="85">
        <f t="shared" si="85"/>
        <v>12610.91420484021</v>
      </c>
      <c r="AG66" s="85">
        <f t="shared" si="85"/>
        <v>15618.080856097524</v>
      </c>
      <c r="AH66" s="85">
        <f t="shared" si="85"/>
        <v>16552.57937631357</v>
      </c>
    </row>
    <row r="67" spans="1:34">
      <c r="A67" s="39"/>
      <c r="B67" s="39"/>
      <c r="C67" s="40"/>
      <c r="D67" s="40"/>
      <c r="E67" s="40"/>
      <c r="F67" s="40"/>
      <c r="G67" s="40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C67" s="11"/>
      <c r="AD67" s="11"/>
      <c r="AE67" s="11"/>
      <c r="AF67" s="11"/>
      <c r="AG67" s="11"/>
      <c r="AH67" s="11"/>
    </row>
    <row r="68" spans="1:34">
      <c r="A68" s="42" t="s">
        <v>155</v>
      </c>
      <c r="B68" s="39" t="s">
        <v>96</v>
      </c>
      <c r="C68" s="40"/>
      <c r="D68" s="40">
        <f t="shared" ref="D68:W68" si="90">D66-(D57+D50+D44+D59)</f>
        <v>0</v>
      </c>
      <c r="E68" s="40">
        <f t="shared" si="90"/>
        <v>10.375782490910979</v>
      </c>
      <c r="F68" s="40">
        <f t="shared" si="90"/>
        <v>51.199119320129284</v>
      </c>
      <c r="G68" s="40">
        <f t="shared" si="90"/>
        <v>30.570241868652147</v>
      </c>
      <c r="H68" s="40">
        <f t="shared" si="90"/>
        <v>386.06082601425032</v>
      </c>
      <c r="I68" s="40">
        <f t="shared" si="90"/>
        <v>516.17601157152376</v>
      </c>
      <c r="J68" s="40">
        <f t="shared" si="90"/>
        <v>653.66873235520916</v>
      </c>
      <c r="K68" s="40">
        <f t="shared" si="90"/>
        <v>818.26212162428078</v>
      </c>
      <c r="L68" s="40">
        <f t="shared" si="90"/>
        <v>953.78160053597821</v>
      </c>
      <c r="M68" s="40">
        <f t="shared" si="90"/>
        <v>1117.6636352845808</v>
      </c>
      <c r="N68" s="40">
        <f t="shared" si="90"/>
        <v>1290.9190001001398</v>
      </c>
      <c r="O68" s="40">
        <f t="shared" si="90"/>
        <v>1493.3754502372485</v>
      </c>
      <c r="P68" s="40">
        <f t="shared" si="90"/>
        <v>1673.8670987714822</v>
      </c>
      <c r="Q68" s="40">
        <f t="shared" si="90"/>
        <v>1886.1106119500791</v>
      </c>
      <c r="R68" s="40">
        <f t="shared" si="90"/>
        <v>2111.3316685034652</v>
      </c>
      <c r="S68" s="40">
        <f t="shared" si="90"/>
        <v>2369.5848256151821</v>
      </c>
      <c r="T68" s="40">
        <f t="shared" si="90"/>
        <v>2558.6378939646938</v>
      </c>
      <c r="U68" s="40">
        <f t="shared" si="90"/>
        <v>2773.7574824423946</v>
      </c>
      <c r="V68" s="40">
        <f t="shared" si="90"/>
        <v>2823.0490062729277</v>
      </c>
      <c r="W68" s="40">
        <f t="shared" si="90"/>
        <v>2892.616473417509</v>
      </c>
      <c r="X68" s="40">
        <f t="shared" ref="X68:AA68" si="91">X66-(X57+X50+X44+X59)</f>
        <v>2919.494416083618</v>
      </c>
      <c r="Y68" s="40">
        <f t="shared" si="91"/>
        <v>2966.5177421892349</v>
      </c>
      <c r="Z68" s="40">
        <f t="shared" si="91"/>
        <v>3014.2984573776512</v>
      </c>
      <c r="AA68" s="40">
        <f t="shared" si="91"/>
        <v>3082.2487606630648</v>
      </c>
      <c r="AC68" s="40">
        <f t="shared" si="85"/>
        <v>92.14514367969241</v>
      </c>
      <c r="AD68" s="40">
        <f t="shared" si="85"/>
        <v>2374.1676915652642</v>
      </c>
      <c r="AE68" s="40">
        <f t="shared" si="85"/>
        <v>4855.7396861579473</v>
      </c>
      <c r="AF68" s="40">
        <f t="shared" si="85"/>
        <v>8040.8942048402087</v>
      </c>
      <c r="AG68" s="40">
        <f t="shared" si="85"/>
        <v>11048.060856097525</v>
      </c>
      <c r="AH68" s="40">
        <f t="shared" si="85"/>
        <v>11982.559376313569</v>
      </c>
    </row>
    <row r="69" spans="1:34" s="59" customForma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C69" s="11"/>
      <c r="AD69" s="11"/>
      <c r="AE69" s="11"/>
      <c r="AF69" s="11"/>
      <c r="AG69" s="11"/>
      <c r="AH69" s="11"/>
    </row>
    <row r="70" spans="1:34" s="59" customForma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34" s="59" customForma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34" s="59" customForma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34" s="59" customForma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34" s="59" customForma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34" s="59" customForma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34" s="59" customForma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34" s="59" customForma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34" s="59" customForma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34" s="59" customForma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34" s="59" customForma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34" s="59" customForma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34" s="59" customForma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34" s="59" customForma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40"/>
      <c r="AD83" s="40"/>
      <c r="AE83" s="40"/>
      <c r="AF83" s="40"/>
      <c r="AG83" s="40"/>
      <c r="AH83" s="40"/>
    </row>
    <row r="84" spans="1:34" s="59" customForma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40"/>
      <c r="AD84" s="40"/>
      <c r="AE84" s="40"/>
      <c r="AF84" s="40"/>
      <c r="AG84" s="40"/>
      <c r="AH84" s="40"/>
    </row>
    <row r="85" spans="1:34" s="59" customForma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59" customForma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59" customForma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59" customForma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59" customForma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59" customForma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59" customForma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s="59" customForma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s="59" customForma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>
      <c r="B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C94" s="11"/>
      <c r="AD94" s="11"/>
      <c r="AE94" s="11"/>
      <c r="AF94" s="11"/>
      <c r="AG94" s="11"/>
      <c r="AH94" s="11"/>
    </row>
    <row r="95" spans="1:34"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C95" s="11"/>
      <c r="AD95" s="11"/>
      <c r="AE95" s="11"/>
      <c r="AF95" s="11"/>
      <c r="AG95" s="11"/>
      <c r="AH95" s="11"/>
    </row>
    <row r="96" spans="1:34"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C96" s="11"/>
      <c r="AD96" s="11"/>
      <c r="AE96" s="11"/>
      <c r="AF96" s="11"/>
      <c r="AG96" s="11"/>
      <c r="AH96" s="11"/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8"/>
  <dimension ref="A2:AH53"/>
  <sheetViews>
    <sheetView zoomScale="85" zoomScaleNormal="85" workbookViewId="0">
      <pane xSplit="2" ySplit="6" topLeftCell="C10" activePane="bottomRight" state="frozen"/>
      <selection activeCell="A13" sqref="A13:XFD13"/>
      <selection pane="topRight"/>
      <selection pane="bottomLeft"/>
      <selection pane="bottomRight" activeCell="E35" sqref="E35"/>
    </sheetView>
  </sheetViews>
  <sheetFormatPr defaultColWidth="9.109375" defaultRowHeight="13.2"/>
  <cols>
    <col min="1" max="1" width="42.88671875" style="11" customWidth="1"/>
    <col min="2" max="2" width="11.44140625" style="12" customWidth="1"/>
    <col min="3" max="3" width="10" style="11" customWidth="1"/>
    <col min="4" max="15" width="11.44140625" style="11" customWidth="1"/>
    <col min="16" max="16" width="9.88671875" style="13" bestFit="1" customWidth="1"/>
    <col min="17" max="16384" width="9.109375" style="11"/>
  </cols>
  <sheetData>
    <row r="2" spans="1:34">
      <c r="A2" s="60" t="str">
        <f>'Титульный лист'!$B$2</f>
        <v>Бизнес-план проекта Indoor Air Technologies</v>
      </c>
      <c r="B2" s="15"/>
      <c r="C2" s="16"/>
    </row>
    <row r="3" spans="1:34">
      <c r="G3" s="88">
        <v>2014</v>
      </c>
      <c r="H3" s="88"/>
      <c r="I3" s="88"/>
      <c r="J3" s="88"/>
      <c r="K3" s="88">
        <f>G3+1</f>
        <v>2015</v>
      </c>
      <c r="L3" s="88"/>
      <c r="M3" s="88"/>
      <c r="N3" s="88"/>
      <c r="O3" s="88">
        <f t="shared" ref="O3:AA3" si="0">K3+1</f>
        <v>2016</v>
      </c>
      <c r="P3" s="88"/>
      <c r="Q3" s="88"/>
      <c r="R3" s="88"/>
      <c r="S3" s="88">
        <f t="shared" si="0"/>
        <v>2017</v>
      </c>
      <c r="T3" s="88"/>
      <c r="U3" s="88"/>
      <c r="V3" s="88"/>
      <c r="W3" s="88">
        <f t="shared" si="0"/>
        <v>2018</v>
      </c>
      <c r="X3" s="88"/>
      <c r="Y3" s="88"/>
      <c r="Z3" s="88"/>
      <c r="AA3" s="88">
        <f t="shared" si="0"/>
        <v>2019</v>
      </c>
    </row>
    <row r="4" spans="1:34">
      <c r="A4" s="17" t="s">
        <v>156</v>
      </c>
      <c r="B4" s="15"/>
      <c r="C4" s="16"/>
      <c r="D4" s="64">
        <v>2014</v>
      </c>
      <c r="E4" s="64">
        <f>D4</f>
        <v>2014</v>
      </c>
      <c r="F4" s="64">
        <f t="shared" ref="F4:G4" si="1">E4</f>
        <v>2014</v>
      </c>
      <c r="G4" s="64">
        <f t="shared" si="1"/>
        <v>2014</v>
      </c>
      <c r="H4" s="64">
        <f>D4+1</f>
        <v>2015</v>
      </c>
      <c r="I4" s="64">
        <f t="shared" ref="I4:AA4" si="2">E4+1</f>
        <v>2015</v>
      </c>
      <c r="J4" s="64">
        <f t="shared" si="2"/>
        <v>2015</v>
      </c>
      <c r="K4" s="64">
        <f t="shared" si="2"/>
        <v>2015</v>
      </c>
      <c r="L4" s="64">
        <f t="shared" si="2"/>
        <v>2016</v>
      </c>
      <c r="M4" s="64">
        <f t="shared" si="2"/>
        <v>2016</v>
      </c>
      <c r="N4" s="64">
        <f t="shared" si="2"/>
        <v>2016</v>
      </c>
      <c r="O4" s="64">
        <f t="shared" si="2"/>
        <v>2016</v>
      </c>
      <c r="P4" s="64">
        <f t="shared" si="2"/>
        <v>2017</v>
      </c>
      <c r="Q4" s="64">
        <f t="shared" si="2"/>
        <v>2017</v>
      </c>
      <c r="R4" s="64">
        <f t="shared" si="2"/>
        <v>2017</v>
      </c>
      <c r="S4" s="64">
        <f t="shared" si="2"/>
        <v>2017</v>
      </c>
      <c r="T4" s="64">
        <f t="shared" si="2"/>
        <v>2018</v>
      </c>
      <c r="U4" s="64">
        <f t="shared" si="2"/>
        <v>2018</v>
      </c>
      <c r="V4" s="64">
        <f t="shared" si="2"/>
        <v>2018</v>
      </c>
      <c r="W4" s="64">
        <f t="shared" si="2"/>
        <v>2018</v>
      </c>
      <c r="X4" s="64">
        <f t="shared" si="2"/>
        <v>2019</v>
      </c>
      <c r="Y4" s="64">
        <f t="shared" si="2"/>
        <v>2019</v>
      </c>
      <c r="Z4" s="64">
        <f t="shared" si="2"/>
        <v>2019</v>
      </c>
      <c r="AA4" s="64">
        <f t="shared" si="2"/>
        <v>2019</v>
      </c>
      <c r="AC4" s="89"/>
      <c r="AD4" s="89"/>
      <c r="AE4" s="89"/>
      <c r="AF4" s="89"/>
      <c r="AG4" s="89"/>
      <c r="AH4" s="89"/>
    </row>
    <row r="5" spans="1:34">
      <c r="A5" s="65" t="s">
        <v>19</v>
      </c>
      <c r="B5" s="79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2014</v>
      </c>
      <c r="AD5" s="67">
        <f>AC5+1</f>
        <v>2015</v>
      </c>
      <c r="AE5" s="67">
        <f t="shared" ref="AE5:AH5" si="3">AD5+1</f>
        <v>2016</v>
      </c>
      <c r="AF5" s="67">
        <f t="shared" si="3"/>
        <v>2017</v>
      </c>
      <c r="AG5" s="67">
        <f t="shared" si="3"/>
        <v>2018</v>
      </c>
      <c r="AH5" s="67">
        <f t="shared" si="3"/>
        <v>2019</v>
      </c>
    </row>
    <row r="6" spans="1:34">
      <c r="A6" s="68" t="s">
        <v>46</v>
      </c>
      <c r="B6" s="80"/>
      <c r="C6" s="69"/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/>
      <c r="AD6" s="69"/>
      <c r="AE6" s="69"/>
      <c r="AF6" s="69"/>
      <c r="AG6" s="69"/>
      <c r="AH6" s="69"/>
    </row>
    <row r="7" spans="1:34">
      <c r="A7" s="42" t="s">
        <v>157</v>
      </c>
      <c r="B7" s="39" t="s">
        <v>49</v>
      </c>
      <c r="C7" s="40"/>
      <c r="D7" s="47">
        <f>SUMIF(Предположения!19:19,D3,Предположения!22:22)</f>
        <v>0</v>
      </c>
      <c r="E7" s="47">
        <f>SUMIF(Предположения!19:19,E3,Предположения!22:22)</f>
        <v>0</v>
      </c>
      <c r="F7" s="47">
        <f>SUMIF(Предположения!19:19,F3,Предположения!22:22)</f>
        <v>0</v>
      </c>
      <c r="G7" s="47">
        <f>SUMIF(Предположения!19:19,G3,Предположения!22:22)</f>
        <v>0</v>
      </c>
      <c r="H7" s="70">
        <f>SUMIF(Предположения!19:19,H3,Предположения!22:22)</f>
        <v>0</v>
      </c>
      <c r="I7" s="70">
        <f>SUMIF(Предположения!19:19,I3,Предположения!22:22)</f>
        <v>0</v>
      </c>
      <c r="J7" s="70">
        <f>SUMIF(Предположения!19:19,J3,Предположения!22:22)</f>
        <v>0</v>
      </c>
      <c r="K7" s="70">
        <f>SUMIF(Предположения!19:19,K3,Предположения!22:22)</f>
        <v>0</v>
      </c>
      <c r="L7" s="70">
        <f>SUMIF(Предположения!19:19,L3,Предположения!22:22)</f>
        <v>0</v>
      </c>
      <c r="M7" s="70">
        <f>SUMIF(Предположения!19:19,M3,Предположения!22:22)</f>
        <v>0</v>
      </c>
      <c r="N7" s="70">
        <f>SUMIF(Предположения!19:19,N3,Предположения!22:22)</f>
        <v>0</v>
      </c>
      <c r="O7" s="70">
        <f>SUMIF(Предположения!19:19,O3,Предположения!22:22)</f>
        <v>0</v>
      </c>
      <c r="P7" s="70">
        <f>SUMIF(Предположения!19:19,P3,Предположения!22:22)</f>
        <v>0</v>
      </c>
      <c r="Q7" s="70">
        <f>SUMIF(Предположения!19:19,Q3,Предположения!22:22)</f>
        <v>0</v>
      </c>
      <c r="R7" s="70">
        <f>SUMIF(Предположения!19:19,R3,Предположения!22:22)</f>
        <v>0</v>
      </c>
      <c r="S7" s="70">
        <f>SUMIF(Предположения!19:19,S3,Предположения!22:22)</f>
        <v>0</v>
      </c>
      <c r="T7" s="70">
        <f>SUMIF(Предположения!19:19,T3,Предположения!22:22)</f>
        <v>0</v>
      </c>
      <c r="U7" s="70">
        <f>SUMIF(Предположения!19:19,U3,Предположения!22:22)</f>
        <v>0</v>
      </c>
      <c r="V7" s="70">
        <f>SUMIF(Предположения!19:19,V3,Предположения!22:22)</f>
        <v>0</v>
      </c>
      <c r="W7" s="70">
        <f>SUMIF(Предположения!19:19,W3,Предположения!22:22)</f>
        <v>0</v>
      </c>
      <c r="X7" s="70">
        <f>SUMIF(Предположения!19:19,X3,Предположения!22:22)</f>
        <v>0</v>
      </c>
      <c r="Y7" s="70">
        <f>SUMIF(Предположения!19:19,Y3,Предположения!22:22)</f>
        <v>0</v>
      </c>
      <c r="Z7" s="70">
        <f>SUMIF(Предположения!19:19,Z3,Предположения!22:22)</f>
        <v>0</v>
      </c>
      <c r="AA7" s="70">
        <f>SUMIF(Предположения!19:19,AA3,Предположения!22:22)</f>
        <v>0</v>
      </c>
      <c r="AC7" s="70"/>
      <c r="AD7" s="70"/>
      <c r="AE7" s="70"/>
      <c r="AF7" s="70"/>
      <c r="AG7" s="70"/>
      <c r="AH7" s="70"/>
    </row>
    <row r="8" spans="1:34">
      <c r="A8" s="42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C8" s="40"/>
      <c r="AD8" s="40"/>
      <c r="AE8" s="40"/>
      <c r="AF8" s="40"/>
      <c r="AG8" s="40"/>
      <c r="AH8" s="40"/>
    </row>
    <row r="9" spans="1:34">
      <c r="A9" s="38" t="s">
        <v>158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C9" s="40"/>
      <c r="AD9" s="40"/>
      <c r="AE9" s="40"/>
      <c r="AF9" s="40"/>
      <c r="AG9" s="40"/>
      <c r="AH9" s="40"/>
    </row>
    <row r="10" spans="1:34">
      <c r="A10" s="42" t="s">
        <v>81</v>
      </c>
      <c r="B10" s="39" t="s">
        <v>159</v>
      </c>
      <c r="C10" s="40"/>
      <c r="D10" s="40"/>
      <c r="E10" s="40">
        <f>Предположения!C61</f>
        <v>1</v>
      </c>
      <c r="F10" s="40">
        <f>E10</f>
        <v>1</v>
      </c>
      <c r="G10" s="40">
        <f t="shared" ref="F10:G20" si="4">F10</f>
        <v>1</v>
      </c>
      <c r="H10" s="40">
        <f t="shared" ref="H10:M12" si="5">G10</f>
        <v>1</v>
      </c>
      <c r="I10" s="40">
        <f t="shared" si="5"/>
        <v>1</v>
      </c>
      <c r="J10" s="40">
        <f t="shared" si="5"/>
        <v>1</v>
      </c>
      <c r="K10" s="40">
        <f t="shared" si="5"/>
        <v>1</v>
      </c>
      <c r="L10" s="40">
        <f t="shared" si="5"/>
        <v>1</v>
      </c>
      <c r="M10" s="40">
        <f t="shared" si="5"/>
        <v>1</v>
      </c>
      <c r="N10" s="40">
        <f t="shared" ref="N10:O20" si="6">M10</f>
        <v>1</v>
      </c>
      <c r="O10" s="40">
        <f t="shared" si="6"/>
        <v>1</v>
      </c>
      <c r="P10" s="40">
        <f t="shared" ref="P10:AA20" si="7">O10</f>
        <v>1</v>
      </c>
      <c r="Q10" s="40">
        <f t="shared" si="7"/>
        <v>1</v>
      </c>
      <c r="R10" s="40">
        <f t="shared" si="7"/>
        <v>1</v>
      </c>
      <c r="S10" s="40">
        <f t="shared" si="7"/>
        <v>1</v>
      </c>
      <c r="T10" s="40">
        <f t="shared" si="7"/>
        <v>1</v>
      </c>
      <c r="U10" s="40">
        <f t="shared" si="7"/>
        <v>1</v>
      </c>
      <c r="V10" s="40">
        <f t="shared" si="7"/>
        <v>1</v>
      </c>
      <c r="W10" s="40">
        <f t="shared" si="7"/>
        <v>1</v>
      </c>
      <c r="X10" s="40">
        <f t="shared" si="7"/>
        <v>1</v>
      </c>
      <c r="Y10" s="40">
        <f t="shared" si="7"/>
        <v>1</v>
      </c>
      <c r="Z10" s="40">
        <f t="shared" si="7"/>
        <v>1</v>
      </c>
      <c r="AA10" s="40">
        <f t="shared" si="7"/>
        <v>1</v>
      </c>
      <c r="AC10" s="40">
        <f t="shared" ref="AC10:AH20" si="8">AVERAGEIF($D$4:$AA$4,AC$5,$D10:$AA10)</f>
        <v>1</v>
      </c>
      <c r="AD10" s="40">
        <f t="shared" si="8"/>
        <v>1</v>
      </c>
      <c r="AE10" s="40">
        <f t="shared" si="8"/>
        <v>1</v>
      </c>
      <c r="AF10" s="40">
        <f t="shared" si="8"/>
        <v>1</v>
      </c>
      <c r="AG10" s="40">
        <f t="shared" si="8"/>
        <v>1</v>
      </c>
      <c r="AH10" s="40">
        <f t="shared" si="8"/>
        <v>1</v>
      </c>
    </row>
    <row r="11" spans="1:34">
      <c r="A11" s="42" t="s">
        <v>83</v>
      </c>
      <c r="B11" s="39" t="s">
        <v>159</v>
      </c>
      <c r="C11" s="40"/>
      <c r="D11" s="40"/>
      <c r="E11" s="40"/>
      <c r="F11" s="40">
        <f>Предположения!C62</f>
        <v>0</v>
      </c>
      <c r="G11" s="40">
        <f t="shared" si="4"/>
        <v>0</v>
      </c>
      <c r="H11" s="40">
        <f t="shared" si="5"/>
        <v>0</v>
      </c>
      <c r="I11" s="40">
        <f t="shared" ref="I11:I13" si="9">H11</f>
        <v>0</v>
      </c>
      <c r="J11" s="40">
        <f t="shared" ref="J11:J13" si="10">I11</f>
        <v>0</v>
      </c>
      <c r="K11" s="40">
        <f t="shared" ref="K11:K13" si="11">J11</f>
        <v>0</v>
      </c>
      <c r="L11" s="40">
        <f t="shared" ref="L11:L13" si="12">K11</f>
        <v>0</v>
      </c>
      <c r="M11" s="40">
        <f t="shared" ref="M11:M13" si="13">L11</f>
        <v>0</v>
      </c>
      <c r="N11" s="40">
        <f t="shared" si="6"/>
        <v>0</v>
      </c>
      <c r="O11" s="40">
        <f t="shared" ref="O11:O13" si="14">N11</f>
        <v>0</v>
      </c>
      <c r="P11" s="40">
        <f t="shared" si="7"/>
        <v>0</v>
      </c>
      <c r="Q11" s="40">
        <f t="shared" si="7"/>
        <v>0</v>
      </c>
      <c r="R11" s="40">
        <f t="shared" si="7"/>
        <v>0</v>
      </c>
      <c r="S11" s="40">
        <f t="shared" si="7"/>
        <v>0</v>
      </c>
      <c r="T11" s="40">
        <f t="shared" si="7"/>
        <v>0</v>
      </c>
      <c r="U11" s="40">
        <f t="shared" si="7"/>
        <v>0</v>
      </c>
      <c r="V11" s="40">
        <f t="shared" si="7"/>
        <v>0</v>
      </c>
      <c r="W11" s="40">
        <f t="shared" si="7"/>
        <v>0</v>
      </c>
      <c r="X11" s="40">
        <f t="shared" si="7"/>
        <v>0</v>
      </c>
      <c r="Y11" s="40">
        <f t="shared" si="7"/>
        <v>0</v>
      </c>
      <c r="Z11" s="40">
        <f t="shared" si="7"/>
        <v>0</v>
      </c>
      <c r="AA11" s="40">
        <f t="shared" si="7"/>
        <v>0</v>
      </c>
      <c r="AC11" s="40"/>
      <c r="AD11" s="40"/>
      <c r="AE11" s="40"/>
      <c r="AF11" s="40"/>
      <c r="AG11" s="40"/>
      <c r="AH11" s="40"/>
    </row>
    <row r="12" spans="1:34">
      <c r="A12" s="42" t="s">
        <v>84</v>
      </c>
      <c r="B12" s="39" t="s">
        <v>159</v>
      </c>
      <c r="C12" s="40"/>
      <c r="D12" s="40"/>
      <c r="E12" s="40"/>
      <c r="F12" s="40">
        <f>Предположения!C63</f>
        <v>0</v>
      </c>
      <c r="G12" s="40">
        <f t="shared" si="4"/>
        <v>0</v>
      </c>
      <c r="H12" s="40">
        <f t="shared" si="5"/>
        <v>0</v>
      </c>
      <c r="I12" s="40">
        <f t="shared" si="9"/>
        <v>0</v>
      </c>
      <c r="J12" s="40">
        <f t="shared" si="10"/>
        <v>0</v>
      </c>
      <c r="K12" s="40">
        <f t="shared" si="11"/>
        <v>0</v>
      </c>
      <c r="L12" s="40">
        <f t="shared" si="12"/>
        <v>0</v>
      </c>
      <c r="M12" s="40">
        <f t="shared" si="13"/>
        <v>0</v>
      </c>
      <c r="N12" s="40">
        <f t="shared" si="6"/>
        <v>0</v>
      </c>
      <c r="O12" s="40">
        <f t="shared" si="14"/>
        <v>0</v>
      </c>
      <c r="P12" s="40">
        <f t="shared" si="7"/>
        <v>0</v>
      </c>
      <c r="Q12" s="40">
        <f t="shared" si="7"/>
        <v>0</v>
      </c>
      <c r="R12" s="40">
        <f t="shared" si="7"/>
        <v>0</v>
      </c>
      <c r="S12" s="40">
        <f t="shared" si="7"/>
        <v>0</v>
      </c>
      <c r="T12" s="40">
        <f t="shared" si="7"/>
        <v>0</v>
      </c>
      <c r="U12" s="40">
        <f t="shared" si="7"/>
        <v>0</v>
      </c>
      <c r="V12" s="40">
        <f t="shared" si="7"/>
        <v>0</v>
      </c>
      <c r="W12" s="40">
        <f t="shared" si="7"/>
        <v>0</v>
      </c>
      <c r="X12" s="40">
        <f t="shared" si="7"/>
        <v>0</v>
      </c>
      <c r="Y12" s="40">
        <f t="shared" si="7"/>
        <v>0</v>
      </c>
      <c r="Z12" s="40">
        <f t="shared" si="7"/>
        <v>0</v>
      </c>
      <c r="AA12" s="40">
        <f t="shared" si="7"/>
        <v>0</v>
      </c>
      <c r="AC12" s="40"/>
      <c r="AD12" s="40"/>
      <c r="AE12" s="40"/>
      <c r="AF12" s="40"/>
      <c r="AG12" s="40"/>
      <c r="AH12" s="40"/>
    </row>
    <row r="13" spans="1:34">
      <c r="A13" s="42" t="s">
        <v>85</v>
      </c>
      <c r="B13" s="39" t="s">
        <v>159</v>
      </c>
      <c r="C13" s="40"/>
      <c r="D13" s="40"/>
      <c r="E13" s="40"/>
      <c r="F13" s="40"/>
      <c r="G13" s="40"/>
      <c r="H13" s="40">
        <f>Предположения!C64</f>
        <v>0</v>
      </c>
      <c r="I13" s="40">
        <f t="shared" si="9"/>
        <v>0</v>
      </c>
      <c r="J13" s="40">
        <f t="shared" si="10"/>
        <v>0</v>
      </c>
      <c r="K13" s="40">
        <f t="shared" si="11"/>
        <v>0</v>
      </c>
      <c r="L13" s="40">
        <f t="shared" si="12"/>
        <v>0</v>
      </c>
      <c r="M13" s="40">
        <f t="shared" si="13"/>
        <v>0</v>
      </c>
      <c r="N13" s="40">
        <f t="shared" si="6"/>
        <v>0</v>
      </c>
      <c r="O13" s="40">
        <f t="shared" si="14"/>
        <v>0</v>
      </c>
      <c r="P13" s="40">
        <f t="shared" si="7"/>
        <v>0</v>
      </c>
      <c r="Q13" s="40">
        <f t="shared" si="7"/>
        <v>0</v>
      </c>
      <c r="R13" s="40">
        <f t="shared" si="7"/>
        <v>0</v>
      </c>
      <c r="S13" s="40">
        <f t="shared" si="7"/>
        <v>0</v>
      </c>
      <c r="T13" s="40">
        <f t="shared" si="7"/>
        <v>0</v>
      </c>
      <c r="U13" s="40">
        <f t="shared" si="7"/>
        <v>0</v>
      </c>
      <c r="V13" s="40">
        <f t="shared" si="7"/>
        <v>0</v>
      </c>
      <c r="W13" s="40">
        <f t="shared" si="7"/>
        <v>0</v>
      </c>
      <c r="X13" s="40">
        <f t="shared" si="7"/>
        <v>0</v>
      </c>
      <c r="Y13" s="40">
        <f t="shared" si="7"/>
        <v>0</v>
      </c>
      <c r="Z13" s="40">
        <f t="shared" si="7"/>
        <v>0</v>
      </c>
      <c r="AA13" s="40">
        <f t="shared" si="7"/>
        <v>0</v>
      </c>
      <c r="AC13" s="40"/>
      <c r="AD13" s="40"/>
      <c r="AE13" s="40"/>
      <c r="AF13" s="40"/>
      <c r="AG13" s="40"/>
      <c r="AH13" s="40"/>
    </row>
    <row r="14" spans="1:34">
      <c r="A14" s="42" t="s">
        <v>89</v>
      </c>
      <c r="B14" s="39" t="s">
        <v>159</v>
      </c>
      <c r="C14" s="40"/>
      <c r="D14" s="40"/>
      <c r="E14" s="40"/>
      <c r="F14" s="40">
        <f>Предположения!C68</f>
        <v>0</v>
      </c>
      <c r="G14" s="40">
        <f t="shared" si="4"/>
        <v>0</v>
      </c>
      <c r="H14" s="40">
        <f t="shared" ref="H14:M20" si="15">G14</f>
        <v>0</v>
      </c>
      <c r="I14" s="40">
        <f t="shared" si="15"/>
        <v>0</v>
      </c>
      <c r="J14" s="40">
        <f t="shared" si="15"/>
        <v>0</v>
      </c>
      <c r="K14" s="40">
        <f t="shared" si="15"/>
        <v>0</v>
      </c>
      <c r="L14" s="40">
        <f t="shared" si="15"/>
        <v>0</v>
      </c>
      <c r="M14" s="40">
        <f t="shared" si="15"/>
        <v>0</v>
      </c>
      <c r="N14" s="40">
        <f t="shared" si="6"/>
        <v>0</v>
      </c>
      <c r="O14" s="40">
        <f t="shared" si="6"/>
        <v>0</v>
      </c>
      <c r="P14" s="40">
        <f t="shared" si="7"/>
        <v>0</v>
      </c>
      <c r="Q14" s="40">
        <f t="shared" si="7"/>
        <v>0</v>
      </c>
      <c r="R14" s="40">
        <f t="shared" si="7"/>
        <v>0</v>
      </c>
      <c r="S14" s="40">
        <f t="shared" si="7"/>
        <v>0</v>
      </c>
      <c r="T14" s="40">
        <f t="shared" si="7"/>
        <v>0</v>
      </c>
      <c r="U14" s="40">
        <f t="shared" si="7"/>
        <v>0</v>
      </c>
      <c r="V14" s="40">
        <f t="shared" si="7"/>
        <v>0</v>
      </c>
      <c r="W14" s="40">
        <f t="shared" si="7"/>
        <v>0</v>
      </c>
      <c r="X14" s="40">
        <f t="shared" si="7"/>
        <v>0</v>
      </c>
      <c r="Y14" s="40">
        <f t="shared" si="7"/>
        <v>0</v>
      </c>
      <c r="Z14" s="40">
        <f t="shared" si="7"/>
        <v>0</v>
      </c>
      <c r="AA14" s="40">
        <f t="shared" si="7"/>
        <v>0</v>
      </c>
      <c r="AC14" s="40">
        <f t="shared" si="8"/>
        <v>0</v>
      </c>
      <c r="AD14" s="40">
        <f t="shared" si="8"/>
        <v>0</v>
      </c>
      <c r="AE14" s="40">
        <f t="shared" si="8"/>
        <v>0</v>
      </c>
      <c r="AF14" s="40">
        <f t="shared" si="8"/>
        <v>0</v>
      </c>
      <c r="AG14" s="40">
        <f t="shared" si="8"/>
        <v>0</v>
      </c>
      <c r="AH14" s="40">
        <f t="shared" si="8"/>
        <v>0</v>
      </c>
    </row>
    <row r="15" spans="1:34">
      <c r="A15" s="42" t="s">
        <v>90</v>
      </c>
      <c r="B15" s="39" t="s">
        <v>159</v>
      </c>
      <c r="C15" s="40"/>
      <c r="D15" s="40"/>
      <c r="E15" s="40">
        <f>Предположения!C69</f>
        <v>0</v>
      </c>
      <c r="F15" s="40">
        <f t="shared" si="4"/>
        <v>0</v>
      </c>
      <c r="G15" s="40">
        <f t="shared" si="4"/>
        <v>0</v>
      </c>
      <c r="H15" s="40">
        <f t="shared" si="15"/>
        <v>0</v>
      </c>
      <c r="I15" s="40">
        <f t="shared" si="15"/>
        <v>0</v>
      </c>
      <c r="J15" s="40">
        <f t="shared" si="15"/>
        <v>0</v>
      </c>
      <c r="K15" s="40">
        <f t="shared" si="15"/>
        <v>0</v>
      </c>
      <c r="L15" s="40">
        <f t="shared" si="15"/>
        <v>0</v>
      </c>
      <c r="M15" s="40">
        <f t="shared" si="15"/>
        <v>0</v>
      </c>
      <c r="N15" s="40">
        <f t="shared" si="6"/>
        <v>0</v>
      </c>
      <c r="O15" s="40">
        <f t="shared" si="6"/>
        <v>0</v>
      </c>
      <c r="P15" s="40">
        <f t="shared" si="7"/>
        <v>0</v>
      </c>
      <c r="Q15" s="40">
        <f t="shared" si="7"/>
        <v>0</v>
      </c>
      <c r="R15" s="40">
        <f t="shared" si="7"/>
        <v>0</v>
      </c>
      <c r="S15" s="40">
        <f t="shared" si="7"/>
        <v>0</v>
      </c>
      <c r="T15" s="40">
        <f t="shared" si="7"/>
        <v>0</v>
      </c>
      <c r="U15" s="40">
        <f t="shared" si="7"/>
        <v>0</v>
      </c>
      <c r="V15" s="40">
        <f t="shared" si="7"/>
        <v>0</v>
      </c>
      <c r="W15" s="40">
        <f t="shared" si="7"/>
        <v>0</v>
      </c>
      <c r="X15" s="40">
        <f t="shared" si="7"/>
        <v>0</v>
      </c>
      <c r="Y15" s="40">
        <f t="shared" si="7"/>
        <v>0</v>
      </c>
      <c r="Z15" s="40">
        <f t="shared" si="7"/>
        <v>0</v>
      </c>
      <c r="AA15" s="40">
        <f t="shared" si="7"/>
        <v>0</v>
      </c>
      <c r="AC15" s="40">
        <f t="shared" si="8"/>
        <v>0</v>
      </c>
      <c r="AD15" s="40">
        <f t="shared" si="8"/>
        <v>0</v>
      </c>
      <c r="AE15" s="40">
        <f t="shared" si="8"/>
        <v>0</v>
      </c>
      <c r="AF15" s="40">
        <f t="shared" si="8"/>
        <v>0</v>
      </c>
      <c r="AG15" s="40">
        <f t="shared" si="8"/>
        <v>0</v>
      </c>
      <c r="AH15" s="40">
        <f t="shared" si="8"/>
        <v>0</v>
      </c>
    </row>
    <row r="16" spans="1:34">
      <c r="A16" s="42" t="s">
        <v>91</v>
      </c>
      <c r="B16" s="39" t="s">
        <v>159</v>
      </c>
      <c r="C16" s="40"/>
      <c r="D16" s="40"/>
      <c r="E16" s="40"/>
      <c r="F16" s="40">
        <f>Предположения!C70</f>
        <v>0</v>
      </c>
      <c r="G16" s="40">
        <f t="shared" si="4"/>
        <v>0</v>
      </c>
      <c r="H16" s="40">
        <f t="shared" si="15"/>
        <v>0</v>
      </c>
      <c r="I16" s="40">
        <f t="shared" si="15"/>
        <v>0</v>
      </c>
      <c r="J16" s="40">
        <f t="shared" si="15"/>
        <v>0</v>
      </c>
      <c r="K16" s="40">
        <f t="shared" si="15"/>
        <v>0</v>
      </c>
      <c r="L16" s="40">
        <f t="shared" si="15"/>
        <v>0</v>
      </c>
      <c r="M16" s="40">
        <f t="shared" si="15"/>
        <v>0</v>
      </c>
      <c r="N16" s="40">
        <f t="shared" si="6"/>
        <v>0</v>
      </c>
      <c r="O16" s="40">
        <f t="shared" si="6"/>
        <v>0</v>
      </c>
      <c r="P16" s="40">
        <f t="shared" si="7"/>
        <v>0</v>
      </c>
      <c r="Q16" s="40">
        <f t="shared" si="7"/>
        <v>0</v>
      </c>
      <c r="R16" s="40">
        <f t="shared" si="7"/>
        <v>0</v>
      </c>
      <c r="S16" s="40">
        <f t="shared" si="7"/>
        <v>0</v>
      </c>
      <c r="T16" s="40">
        <f t="shared" si="7"/>
        <v>0</v>
      </c>
      <c r="U16" s="40">
        <f t="shared" si="7"/>
        <v>0</v>
      </c>
      <c r="V16" s="40">
        <f t="shared" si="7"/>
        <v>0</v>
      </c>
      <c r="W16" s="40">
        <f t="shared" si="7"/>
        <v>0</v>
      </c>
      <c r="X16" s="40">
        <f t="shared" si="7"/>
        <v>0</v>
      </c>
      <c r="Y16" s="40">
        <f t="shared" si="7"/>
        <v>0</v>
      </c>
      <c r="Z16" s="40">
        <f t="shared" si="7"/>
        <v>0</v>
      </c>
      <c r="AA16" s="40">
        <f t="shared" si="7"/>
        <v>0</v>
      </c>
      <c r="AC16" s="40">
        <f t="shared" si="8"/>
        <v>0</v>
      </c>
      <c r="AD16" s="40">
        <f t="shared" si="8"/>
        <v>0</v>
      </c>
      <c r="AE16" s="40">
        <f t="shared" si="8"/>
        <v>0</v>
      </c>
      <c r="AF16" s="40">
        <f t="shared" si="8"/>
        <v>0</v>
      </c>
      <c r="AG16" s="40">
        <f t="shared" si="8"/>
        <v>0</v>
      </c>
      <c r="AH16" s="40">
        <f t="shared" si="8"/>
        <v>0</v>
      </c>
    </row>
    <row r="17" spans="1:34">
      <c r="A17" s="42" t="s">
        <v>92</v>
      </c>
      <c r="B17" s="39" t="s">
        <v>159</v>
      </c>
      <c r="C17" s="40"/>
      <c r="D17" s="40"/>
      <c r="E17" s="40"/>
      <c r="F17" s="40">
        <f>Предположения!C71</f>
        <v>0</v>
      </c>
      <c r="G17" s="40">
        <f t="shared" si="4"/>
        <v>0</v>
      </c>
      <c r="H17" s="40">
        <f t="shared" si="15"/>
        <v>0</v>
      </c>
      <c r="I17" s="40">
        <f t="shared" si="15"/>
        <v>0</v>
      </c>
      <c r="J17" s="40">
        <f t="shared" si="15"/>
        <v>0</v>
      </c>
      <c r="K17" s="40">
        <f t="shared" si="15"/>
        <v>0</v>
      </c>
      <c r="L17" s="40">
        <f t="shared" si="15"/>
        <v>0</v>
      </c>
      <c r="M17" s="40">
        <f t="shared" si="15"/>
        <v>0</v>
      </c>
      <c r="N17" s="40">
        <f t="shared" si="6"/>
        <v>0</v>
      </c>
      <c r="O17" s="40">
        <f t="shared" si="6"/>
        <v>0</v>
      </c>
      <c r="P17" s="40">
        <f t="shared" si="7"/>
        <v>0</v>
      </c>
      <c r="Q17" s="40">
        <f t="shared" si="7"/>
        <v>0</v>
      </c>
      <c r="R17" s="40">
        <f t="shared" si="7"/>
        <v>0</v>
      </c>
      <c r="S17" s="40">
        <f t="shared" si="7"/>
        <v>0</v>
      </c>
      <c r="T17" s="40">
        <f t="shared" si="7"/>
        <v>0</v>
      </c>
      <c r="U17" s="40">
        <f t="shared" si="7"/>
        <v>0</v>
      </c>
      <c r="V17" s="40">
        <f t="shared" si="7"/>
        <v>0</v>
      </c>
      <c r="W17" s="40">
        <f t="shared" si="7"/>
        <v>0</v>
      </c>
      <c r="X17" s="40">
        <f t="shared" si="7"/>
        <v>0</v>
      </c>
      <c r="Y17" s="40">
        <f t="shared" si="7"/>
        <v>0</v>
      </c>
      <c r="Z17" s="40">
        <f t="shared" si="7"/>
        <v>0</v>
      </c>
      <c r="AA17" s="40">
        <f t="shared" si="7"/>
        <v>0</v>
      </c>
      <c r="AC17" s="40">
        <f t="shared" si="8"/>
        <v>0</v>
      </c>
      <c r="AD17" s="40">
        <f t="shared" si="8"/>
        <v>0</v>
      </c>
      <c r="AE17" s="40">
        <f t="shared" si="8"/>
        <v>0</v>
      </c>
      <c r="AF17" s="40">
        <f t="shared" si="8"/>
        <v>0</v>
      </c>
      <c r="AG17" s="40">
        <f t="shared" si="8"/>
        <v>0</v>
      </c>
      <c r="AH17" s="40">
        <f t="shared" si="8"/>
        <v>0</v>
      </c>
    </row>
    <row r="18" spans="1:34">
      <c r="A18" s="42" t="s">
        <v>86</v>
      </c>
      <c r="B18" s="39" t="s">
        <v>159</v>
      </c>
      <c r="C18" s="40"/>
      <c r="D18" s="40"/>
      <c r="E18" s="40">
        <f>Предположения!C65</f>
        <v>0</v>
      </c>
      <c r="F18" s="40">
        <f>E18</f>
        <v>0</v>
      </c>
      <c r="G18" s="40">
        <f t="shared" si="4"/>
        <v>0</v>
      </c>
      <c r="H18" s="40">
        <f t="shared" si="15"/>
        <v>0</v>
      </c>
      <c r="I18" s="40">
        <f t="shared" si="15"/>
        <v>0</v>
      </c>
      <c r="J18" s="40">
        <f t="shared" si="15"/>
        <v>0</v>
      </c>
      <c r="K18" s="40">
        <f t="shared" si="15"/>
        <v>0</v>
      </c>
      <c r="L18" s="40">
        <f t="shared" si="15"/>
        <v>0</v>
      </c>
      <c r="M18" s="40">
        <f t="shared" si="15"/>
        <v>0</v>
      </c>
      <c r="N18" s="40">
        <f t="shared" si="6"/>
        <v>0</v>
      </c>
      <c r="O18" s="40">
        <f t="shared" si="6"/>
        <v>0</v>
      </c>
      <c r="P18" s="40">
        <f t="shared" si="7"/>
        <v>0</v>
      </c>
      <c r="Q18" s="40">
        <f t="shared" ref="Q18:Q20" si="16">P18</f>
        <v>0</v>
      </c>
      <c r="R18" s="40">
        <f t="shared" ref="R18:R20" si="17">Q18</f>
        <v>0</v>
      </c>
      <c r="S18" s="40">
        <f t="shared" ref="S18:S20" si="18">R18</f>
        <v>0</v>
      </c>
      <c r="T18" s="40">
        <f t="shared" ref="T18:T20" si="19">S18</f>
        <v>0</v>
      </c>
      <c r="U18" s="40">
        <f t="shared" ref="U18:U20" si="20">T18</f>
        <v>0</v>
      </c>
      <c r="V18" s="40">
        <f t="shared" ref="V18:V20" si="21">U18</f>
        <v>0</v>
      </c>
      <c r="W18" s="40">
        <f t="shared" ref="W18:W20" si="22">V18</f>
        <v>0</v>
      </c>
      <c r="X18" s="40">
        <f t="shared" ref="X18:X20" si="23">W18</f>
        <v>0</v>
      </c>
      <c r="Y18" s="40">
        <f t="shared" ref="Y18:Y20" si="24">X18</f>
        <v>0</v>
      </c>
      <c r="Z18" s="40">
        <f t="shared" ref="Z18:Z20" si="25">Y18</f>
        <v>0</v>
      </c>
      <c r="AA18" s="40">
        <f t="shared" ref="AA18:AA20" si="26">Z18</f>
        <v>0</v>
      </c>
      <c r="AC18" s="40">
        <f t="shared" si="8"/>
        <v>0</v>
      </c>
      <c r="AD18" s="40">
        <f t="shared" ref="AD18:AH20" si="27">AVERAGEIF($D$4:$AA$4,AD$5,$D18:$AA18)</f>
        <v>0</v>
      </c>
      <c r="AE18" s="40">
        <f t="shared" si="27"/>
        <v>0</v>
      </c>
      <c r="AF18" s="40">
        <f t="shared" si="27"/>
        <v>0</v>
      </c>
      <c r="AG18" s="40">
        <f t="shared" si="27"/>
        <v>0</v>
      </c>
      <c r="AH18" s="40">
        <f t="shared" si="27"/>
        <v>0</v>
      </c>
    </row>
    <row r="19" spans="1:34">
      <c r="A19" s="42" t="s">
        <v>87</v>
      </c>
      <c r="B19" s="39" t="s">
        <v>159</v>
      </c>
      <c r="C19" s="40"/>
      <c r="D19" s="40"/>
      <c r="E19" s="40"/>
      <c r="F19" s="40">
        <f>Предположения!C66</f>
        <v>0</v>
      </c>
      <c r="G19" s="40">
        <f t="shared" si="4"/>
        <v>0</v>
      </c>
      <c r="H19" s="40">
        <f t="shared" si="15"/>
        <v>0</v>
      </c>
      <c r="I19" s="40">
        <f t="shared" si="15"/>
        <v>0</v>
      </c>
      <c r="J19" s="40">
        <f t="shared" si="15"/>
        <v>0</v>
      </c>
      <c r="K19" s="40">
        <f t="shared" si="15"/>
        <v>0</v>
      </c>
      <c r="L19" s="40">
        <f t="shared" si="15"/>
        <v>0</v>
      </c>
      <c r="M19" s="40">
        <f t="shared" si="15"/>
        <v>0</v>
      </c>
      <c r="N19" s="40">
        <f t="shared" si="6"/>
        <v>0</v>
      </c>
      <c r="O19" s="40">
        <f t="shared" si="6"/>
        <v>0</v>
      </c>
      <c r="P19" s="40">
        <f t="shared" si="7"/>
        <v>0</v>
      </c>
      <c r="Q19" s="40">
        <f t="shared" si="16"/>
        <v>0</v>
      </c>
      <c r="R19" s="40">
        <f t="shared" si="17"/>
        <v>0</v>
      </c>
      <c r="S19" s="40">
        <f t="shared" si="18"/>
        <v>0</v>
      </c>
      <c r="T19" s="40">
        <f t="shared" si="19"/>
        <v>0</v>
      </c>
      <c r="U19" s="40">
        <f t="shared" si="20"/>
        <v>0</v>
      </c>
      <c r="V19" s="40">
        <f t="shared" si="21"/>
        <v>0</v>
      </c>
      <c r="W19" s="40">
        <f t="shared" si="22"/>
        <v>0</v>
      </c>
      <c r="X19" s="40">
        <f t="shared" si="23"/>
        <v>0</v>
      </c>
      <c r="Y19" s="40">
        <f t="shared" si="24"/>
        <v>0</v>
      </c>
      <c r="Z19" s="40">
        <f t="shared" si="25"/>
        <v>0</v>
      </c>
      <c r="AA19" s="40">
        <f t="shared" si="26"/>
        <v>0</v>
      </c>
      <c r="AC19" s="40">
        <f t="shared" si="8"/>
        <v>0</v>
      </c>
      <c r="AD19" s="40">
        <f t="shared" si="27"/>
        <v>0</v>
      </c>
      <c r="AE19" s="40">
        <f t="shared" si="27"/>
        <v>0</v>
      </c>
      <c r="AF19" s="40">
        <f t="shared" si="27"/>
        <v>0</v>
      </c>
      <c r="AG19" s="40">
        <f t="shared" si="27"/>
        <v>0</v>
      </c>
      <c r="AH19" s="40">
        <f t="shared" si="27"/>
        <v>0</v>
      </c>
    </row>
    <row r="20" spans="1:34">
      <c r="A20" s="42" t="s">
        <v>88</v>
      </c>
      <c r="B20" s="39" t="s">
        <v>159</v>
      </c>
      <c r="C20" s="40"/>
      <c r="D20" s="40"/>
      <c r="E20" s="40"/>
      <c r="F20" s="40">
        <f>Предположения!C67</f>
        <v>0</v>
      </c>
      <c r="G20" s="40">
        <f t="shared" si="4"/>
        <v>0</v>
      </c>
      <c r="H20" s="40">
        <f t="shared" si="15"/>
        <v>0</v>
      </c>
      <c r="I20" s="40">
        <f t="shared" si="15"/>
        <v>0</v>
      </c>
      <c r="J20" s="40">
        <f t="shared" si="15"/>
        <v>0</v>
      </c>
      <c r="K20" s="40">
        <f t="shared" si="15"/>
        <v>0</v>
      </c>
      <c r="L20" s="40">
        <f t="shared" si="15"/>
        <v>0</v>
      </c>
      <c r="M20" s="40">
        <f t="shared" si="15"/>
        <v>0</v>
      </c>
      <c r="N20" s="40">
        <f t="shared" si="6"/>
        <v>0</v>
      </c>
      <c r="O20" s="40">
        <f t="shared" si="6"/>
        <v>0</v>
      </c>
      <c r="P20" s="40">
        <f t="shared" si="7"/>
        <v>0</v>
      </c>
      <c r="Q20" s="40">
        <f t="shared" si="16"/>
        <v>0</v>
      </c>
      <c r="R20" s="40">
        <f t="shared" si="17"/>
        <v>0</v>
      </c>
      <c r="S20" s="40">
        <f t="shared" si="18"/>
        <v>0</v>
      </c>
      <c r="T20" s="40">
        <f t="shared" si="19"/>
        <v>0</v>
      </c>
      <c r="U20" s="40">
        <f t="shared" si="20"/>
        <v>0</v>
      </c>
      <c r="V20" s="40">
        <f t="shared" si="21"/>
        <v>0</v>
      </c>
      <c r="W20" s="40">
        <f t="shared" si="22"/>
        <v>0</v>
      </c>
      <c r="X20" s="40">
        <f t="shared" si="23"/>
        <v>0</v>
      </c>
      <c r="Y20" s="40">
        <f t="shared" si="24"/>
        <v>0</v>
      </c>
      <c r="Z20" s="40">
        <f t="shared" si="25"/>
        <v>0</v>
      </c>
      <c r="AA20" s="40">
        <f t="shared" si="26"/>
        <v>0</v>
      </c>
      <c r="AC20" s="40">
        <f t="shared" si="8"/>
        <v>0</v>
      </c>
      <c r="AD20" s="40">
        <f t="shared" si="27"/>
        <v>0</v>
      </c>
      <c r="AE20" s="40">
        <f t="shared" si="27"/>
        <v>0</v>
      </c>
      <c r="AF20" s="40">
        <f t="shared" si="27"/>
        <v>0</v>
      </c>
      <c r="AG20" s="40">
        <f t="shared" si="27"/>
        <v>0</v>
      </c>
      <c r="AH20" s="40">
        <f t="shared" si="27"/>
        <v>0</v>
      </c>
    </row>
    <row r="21" spans="1:34">
      <c r="A21" s="73" t="s">
        <v>160</v>
      </c>
      <c r="B21" s="73" t="s">
        <v>159</v>
      </c>
      <c r="C21" s="74"/>
      <c r="D21" s="74"/>
      <c r="E21" s="74">
        <f t="shared" ref="E21:AA21" si="28">SUM(E10:E20)</f>
        <v>1</v>
      </c>
      <c r="F21" s="74">
        <f t="shared" si="28"/>
        <v>1</v>
      </c>
      <c r="G21" s="74">
        <f t="shared" si="28"/>
        <v>1</v>
      </c>
      <c r="H21" s="74">
        <f t="shared" si="28"/>
        <v>1</v>
      </c>
      <c r="I21" s="74">
        <f t="shared" si="28"/>
        <v>1</v>
      </c>
      <c r="J21" s="74">
        <f t="shared" si="28"/>
        <v>1</v>
      </c>
      <c r="K21" s="74">
        <f t="shared" si="28"/>
        <v>1</v>
      </c>
      <c r="L21" s="74">
        <f t="shared" si="28"/>
        <v>1</v>
      </c>
      <c r="M21" s="74">
        <f t="shared" si="28"/>
        <v>1</v>
      </c>
      <c r="N21" s="74">
        <f t="shared" si="28"/>
        <v>1</v>
      </c>
      <c r="O21" s="74">
        <f t="shared" si="28"/>
        <v>1</v>
      </c>
      <c r="P21" s="74">
        <f t="shared" si="28"/>
        <v>1</v>
      </c>
      <c r="Q21" s="74">
        <f t="shared" si="28"/>
        <v>1</v>
      </c>
      <c r="R21" s="74">
        <f t="shared" si="28"/>
        <v>1</v>
      </c>
      <c r="S21" s="74">
        <f t="shared" si="28"/>
        <v>1</v>
      </c>
      <c r="T21" s="74">
        <f t="shared" si="28"/>
        <v>1</v>
      </c>
      <c r="U21" s="74">
        <f t="shared" si="28"/>
        <v>1</v>
      </c>
      <c r="V21" s="74">
        <f t="shared" si="28"/>
        <v>1</v>
      </c>
      <c r="W21" s="74">
        <f t="shared" si="28"/>
        <v>1</v>
      </c>
      <c r="X21" s="74">
        <f t="shared" si="28"/>
        <v>1</v>
      </c>
      <c r="Y21" s="74">
        <f t="shared" si="28"/>
        <v>1</v>
      </c>
      <c r="Z21" s="74">
        <f t="shared" si="28"/>
        <v>1</v>
      </c>
      <c r="AA21" s="74">
        <f t="shared" si="28"/>
        <v>1</v>
      </c>
      <c r="AC21" s="74">
        <f t="shared" ref="AC21:AH21" si="29">SUM(AC18:AC20)</f>
        <v>0</v>
      </c>
      <c r="AD21" s="74">
        <f t="shared" si="29"/>
        <v>0</v>
      </c>
      <c r="AE21" s="74">
        <f t="shared" si="29"/>
        <v>0</v>
      </c>
      <c r="AF21" s="74">
        <f t="shared" si="29"/>
        <v>0</v>
      </c>
      <c r="AG21" s="74">
        <f t="shared" si="29"/>
        <v>0</v>
      </c>
      <c r="AH21" s="74">
        <f t="shared" si="29"/>
        <v>0</v>
      </c>
    </row>
    <row r="22" spans="1:34">
      <c r="A22" s="39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C22" s="40"/>
      <c r="AD22" s="40"/>
      <c r="AE22" s="40"/>
      <c r="AF22" s="40"/>
      <c r="AG22" s="40"/>
      <c r="AH22" s="40"/>
    </row>
    <row r="23" spans="1:34">
      <c r="A23" s="38" t="s">
        <v>78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C23" s="40"/>
      <c r="AD23" s="40"/>
      <c r="AE23" s="40"/>
      <c r="AF23" s="40"/>
      <c r="AG23" s="40"/>
      <c r="AH23" s="40"/>
    </row>
    <row r="24" spans="1:34">
      <c r="A24" s="42" t="str">
        <f>A10</f>
        <v>Генеральный директор</v>
      </c>
      <c r="B24" s="39" t="s">
        <v>161</v>
      </c>
      <c r="C24" s="40"/>
      <c r="D24" s="40"/>
      <c r="E24" s="40">
        <f>Предположения!D61</f>
        <v>292500</v>
      </c>
      <c r="F24" s="40">
        <f t="shared" ref="F24:AA34" si="30">E24*(1+F$7)</f>
        <v>292500</v>
      </c>
      <c r="G24" s="40">
        <f t="shared" si="30"/>
        <v>292500</v>
      </c>
      <c r="H24" s="40">
        <f t="shared" si="30"/>
        <v>292500</v>
      </c>
      <c r="I24" s="40">
        <f t="shared" si="30"/>
        <v>292500</v>
      </c>
      <c r="J24" s="40">
        <f t="shared" si="30"/>
        <v>292500</v>
      </c>
      <c r="K24" s="40">
        <f t="shared" si="30"/>
        <v>292500</v>
      </c>
      <c r="L24" s="40">
        <f t="shared" si="30"/>
        <v>292500</v>
      </c>
      <c r="M24" s="40">
        <f t="shared" si="30"/>
        <v>292500</v>
      </c>
      <c r="N24" s="40">
        <f t="shared" si="30"/>
        <v>292500</v>
      </c>
      <c r="O24" s="40">
        <f t="shared" si="30"/>
        <v>292500</v>
      </c>
      <c r="P24" s="40">
        <f t="shared" si="30"/>
        <v>292500</v>
      </c>
      <c r="Q24" s="40">
        <f t="shared" si="30"/>
        <v>292500</v>
      </c>
      <c r="R24" s="40">
        <f t="shared" si="30"/>
        <v>292500</v>
      </c>
      <c r="S24" s="40">
        <f t="shared" si="30"/>
        <v>292500</v>
      </c>
      <c r="T24" s="40">
        <f t="shared" si="30"/>
        <v>292500</v>
      </c>
      <c r="U24" s="40">
        <f t="shared" si="30"/>
        <v>292500</v>
      </c>
      <c r="V24" s="40">
        <f t="shared" si="30"/>
        <v>292500</v>
      </c>
      <c r="W24" s="40">
        <f t="shared" si="30"/>
        <v>292500</v>
      </c>
      <c r="X24" s="40">
        <f t="shared" si="30"/>
        <v>292500</v>
      </c>
      <c r="Y24" s="40">
        <f t="shared" si="30"/>
        <v>292500</v>
      </c>
      <c r="Z24" s="40">
        <f t="shared" si="30"/>
        <v>292500</v>
      </c>
      <c r="AA24" s="40">
        <f t="shared" si="30"/>
        <v>292500</v>
      </c>
      <c r="AC24" s="40">
        <f t="shared" ref="AC24:AH35" si="31">AVERAGEIF($D$4:$AA$4,AC$5,$D24:$AA24)</f>
        <v>292500</v>
      </c>
      <c r="AD24" s="40">
        <f t="shared" si="31"/>
        <v>292500</v>
      </c>
      <c r="AE24" s="40">
        <f t="shared" si="31"/>
        <v>292500</v>
      </c>
      <c r="AF24" s="40">
        <f t="shared" si="31"/>
        <v>292500</v>
      </c>
      <c r="AG24" s="40">
        <f t="shared" si="31"/>
        <v>292500</v>
      </c>
      <c r="AH24" s="40">
        <f t="shared" si="31"/>
        <v>292500</v>
      </c>
    </row>
    <row r="25" spans="1:34">
      <c r="A25" s="42" t="s">
        <v>83</v>
      </c>
      <c r="B25" s="39" t="s">
        <v>161</v>
      </c>
      <c r="C25" s="40"/>
      <c r="D25" s="40"/>
      <c r="E25" s="40">
        <f>Предположения!D62</f>
        <v>0</v>
      </c>
      <c r="F25" s="40">
        <f t="shared" si="30"/>
        <v>0</v>
      </c>
      <c r="G25" s="40">
        <f t="shared" si="30"/>
        <v>0</v>
      </c>
      <c r="H25" s="40">
        <f t="shared" si="30"/>
        <v>0</v>
      </c>
      <c r="I25" s="40">
        <f t="shared" si="30"/>
        <v>0</v>
      </c>
      <c r="J25" s="40">
        <f t="shared" si="30"/>
        <v>0</v>
      </c>
      <c r="K25" s="40">
        <f t="shared" si="30"/>
        <v>0</v>
      </c>
      <c r="L25" s="40">
        <f t="shared" si="30"/>
        <v>0</v>
      </c>
      <c r="M25" s="40">
        <f t="shared" si="30"/>
        <v>0</v>
      </c>
      <c r="N25" s="40">
        <f t="shared" si="30"/>
        <v>0</v>
      </c>
      <c r="O25" s="40">
        <f t="shared" si="30"/>
        <v>0</v>
      </c>
      <c r="P25" s="40">
        <f t="shared" si="30"/>
        <v>0</v>
      </c>
      <c r="Q25" s="40">
        <f t="shared" si="30"/>
        <v>0</v>
      </c>
      <c r="R25" s="40">
        <f t="shared" si="30"/>
        <v>0</v>
      </c>
      <c r="S25" s="40">
        <f t="shared" si="30"/>
        <v>0</v>
      </c>
      <c r="T25" s="40">
        <f t="shared" si="30"/>
        <v>0</v>
      </c>
      <c r="U25" s="40">
        <f t="shared" si="30"/>
        <v>0</v>
      </c>
      <c r="V25" s="40">
        <f t="shared" si="30"/>
        <v>0</v>
      </c>
      <c r="W25" s="40">
        <f t="shared" si="30"/>
        <v>0</v>
      </c>
      <c r="X25" s="40">
        <f t="shared" si="30"/>
        <v>0</v>
      </c>
      <c r="Y25" s="40">
        <f t="shared" si="30"/>
        <v>0</v>
      </c>
      <c r="Z25" s="40">
        <f t="shared" si="30"/>
        <v>0</v>
      </c>
      <c r="AA25" s="40">
        <f t="shared" si="30"/>
        <v>0</v>
      </c>
      <c r="AC25" s="40"/>
      <c r="AD25" s="40"/>
      <c r="AE25" s="40"/>
      <c r="AF25" s="40"/>
      <c r="AG25" s="40"/>
      <c r="AH25" s="40"/>
    </row>
    <row r="26" spans="1:34">
      <c r="A26" s="42" t="s">
        <v>84</v>
      </c>
      <c r="B26" s="39" t="s">
        <v>161</v>
      </c>
      <c r="C26" s="40"/>
      <c r="D26" s="40"/>
      <c r="E26" s="40">
        <f>Предположения!D63</f>
        <v>0</v>
      </c>
      <c r="F26" s="40">
        <f t="shared" si="30"/>
        <v>0</v>
      </c>
      <c r="G26" s="40">
        <f t="shared" si="30"/>
        <v>0</v>
      </c>
      <c r="H26" s="40">
        <f t="shared" si="30"/>
        <v>0</v>
      </c>
      <c r="I26" s="40">
        <f t="shared" si="30"/>
        <v>0</v>
      </c>
      <c r="J26" s="40">
        <f t="shared" si="30"/>
        <v>0</v>
      </c>
      <c r="K26" s="40">
        <f t="shared" si="30"/>
        <v>0</v>
      </c>
      <c r="L26" s="40">
        <f t="shared" si="30"/>
        <v>0</v>
      </c>
      <c r="M26" s="40">
        <f t="shared" si="30"/>
        <v>0</v>
      </c>
      <c r="N26" s="40">
        <f t="shared" si="30"/>
        <v>0</v>
      </c>
      <c r="O26" s="40">
        <f t="shared" si="30"/>
        <v>0</v>
      </c>
      <c r="P26" s="40">
        <f t="shared" si="30"/>
        <v>0</v>
      </c>
      <c r="Q26" s="40">
        <f t="shared" si="30"/>
        <v>0</v>
      </c>
      <c r="R26" s="40">
        <f t="shared" si="30"/>
        <v>0</v>
      </c>
      <c r="S26" s="40">
        <f t="shared" si="30"/>
        <v>0</v>
      </c>
      <c r="T26" s="40">
        <f t="shared" si="30"/>
        <v>0</v>
      </c>
      <c r="U26" s="40">
        <f t="shared" si="30"/>
        <v>0</v>
      </c>
      <c r="V26" s="40">
        <f t="shared" si="30"/>
        <v>0</v>
      </c>
      <c r="W26" s="40">
        <f t="shared" si="30"/>
        <v>0</v>
      </c>
      <c r="X26" s="40">
        <f t="shared" si="30"/>
        <v>0</v>
      </c>
      <c r="Y26" s="40">
        <f t="shared" si="30"/>
        <v>0</v>
      </c>
      <c r="Z26" s="40">
        <f t="shared" si="30"/>
        <v>0</v>
      </c>
      <c r="AA26" s="40">
        <f t="shared" si="30"/>
        <v>0</v>
      </c>
      <c r="AC26" s="40"/>
      <c r="AD26" s="40"/>
      <c r="AE26" s="40"/>
      <c r="AF26" s="40"/>
      <c r="AG26" s="40"/>
      <c r="AH26" s="40"/>
    </row>
    <row r="27" spans="1:34">
      <c r="A27" s="42" t="s">
        <v>85</v>
      </c>
      <c r="B27" s="39" t="s">
        <v>161</v>
      </c>
      <c r="C27" s="40"/>
      <c r="D27" s="40"/>
      <c r="E27" s="40">
        <f>Предположения!D64</f>
        <v>0</v>
      </c>
      <c r="F27" s="40">
        <f t="shared" si="30"/>
        <v>0</v>
      </c>
      <c r="G27" s="40">
        <f t="shared" si="30"/>
        <v>0</v>
      </c>
      <c r="H27" s="40">
        <f t="shared" si="30"/>
        <v>0</v>
      </c>
      <c r="I27" s="40">
        <f t="shared" si="30"/>
        <v>0</v>
      </c>
      <c r="J27" s="40">
        <f t="shared" si="30"/>
        <v>0</v>
      </c>
      <c r="K27" s="40">
        <f t="shared" si="30"/>
        <v>0</v>
      </c>
      <c r="L27" s="40">
        <f t="shared" si="30"/>
        <v>0</v>
      </c>
      <c r="M27" s="40">
        <f t="shared" si="30"/>
        <v>0</v>
      </c>
      <c r="N27" s="40">
        <f t="shared" si="30"/>
        <v>0</v>
      </c>
      <c r="O27" s="40">
        <f t="shared" si="30"/>
        <v>0</v>
      </c>
      <c r="P27" s="40">
        <f t="shared" si="30"/>
        <v>0</v>
      </c>
      <c r="Q27" s="40">
        <f t="shared" si="30"/>
        <v>0</v>
      </c>
      <c r="R27" s="40">
        <f t="shared" si="30"/>
        <v>0</v>
      </c>
      <c r="S27" s="40">
        <f t="shared" si="30"/>
        <v>0</v>
      </c>
      <c r="T27" s="40">
        <f t="shared" si="30"/>
        <v>0</v>
      </c>
      <c r="U27" s="40">
        <f t="shared" si="30"/>
        <v>0</v>
      </c>
      <c r="V27" s="40">
        <f t="shared" si="30"/>
        <v>0</v>
      </c>
      <c r="W27" s="40">
        <f t="shared" si="30"/>
        <v>0</v>
      </c>
      <c r="X27" s="40">
        <f t="shared" si="30"/>
        <v>0</v>
      </c>
      <c r="Y27" s="40">
        <f t="shared" si="30"/>
        <v>0</v>
      </c>
      <c r="Z27" s="40">
        <f t="shared" si="30"/>
        <v>0</v>
      </c>
      <c r="AA27" s="40">
        <f t="shared" si="30"/>
        <v>0</v>
      </c>
      <c r="AC27" s="40"/>
      <c r="AD27" s="40"/>
      <c r="AE27" s="40"/>
      <c r="AF27" s="40"/>
      <c r="AG27" s="40"/>
      <c r="AH27" s="40"/>
    </row>
    <row r="28" spans="1:34">
      <c r="A28" s="42" t="str">
        <f t="shared" ref="A28:A34" si="32">A14</f>
        <v xml:space="preserve">Документатор </v>
      </c>
      <c r="B28" s="39" t="s">
        <v>161</v>
      </c>
      <c r="C28" s="40"/>
      <c r="D28" s="40"/>
      <c r="E28" s="40">
        <f>Предположения!D68</f>
        <v>0</v>
      </c>
      <c r="F28" s="40">
        <f t="shared" si="30"/>
        <v>0</v>
      </c>
      <c r="G28" s="40">
        <f t="shared" si="30"/>
        <v>0</v>
      </c>
      <c r="H28" s="40">
        <f t="shared" si="30"/>
        <v>0</v>
      </c>
      <c r="I28" s="40">
        <f t="shared" si="30"/>
        <v>0</v>
      </c>
      <c r="J28" s="40">
        <f t="shared" si="30"/>
        <v>0</v>
      </c>
      <c r="K28" s="40">
        <f t="shared" si="30"/>
        <v>0</v>
      </c>
      <c r="L28" s="40">
        <f t="shared" si="30"/>
        <v>0</v>
      </c>
      <c r="M28" s="40">
        <f t="shared" si="30"/>
        <v>0</v>
      </c>
      <c r="N28" s="40">
        <f t="shared" si="30"/>
        <v>0</v>
      </c>
      <c r="O28" s="40">
        <f t="shared" si="30"/>
        <v>0</v>
      </c>
      <c r="P28" s="40">
        <f t="shared" si="30"/>
        <v>0</v>
      </c>
      <c r="Q28" s="40">
        <f t="shared" si="30"/>
        <v>0</v>
      </c>
      <c r="R28" s="40">
        <f t="shared" si="30"/>
        <v>0</v>
      </c>
      <c r="S28" s="40">
        <f t="shared" si="30"/>
        <v>0</v>
      </c>
      <c r="T28" s="40">
        <f t="shared" si="30"/>
        <v>0</v>
      </c>
      <c r="U28" s="40">
        <f t="shared" si="30"/>
        <v>0</v>
      </c>
      <c r="V28" s="40">
        <f t="shared" si="30"/>
        <v>0</v>
      </c>
      <c r="W28" s="40">
        <f t="shared" si="30"/>
        <v>0</v>
      </c>
      <c r="X28" s="40">
        <f t="shared" si="30"/>
        <v>0</v>
      </c>
      <c r="Y28" s="40">
        <f t="shared" si="30"/>
        <v>0</v>
      </c>
      <c r="Z28" s="40">
        <f t="shared" si="30"/>
        <v>0</v>
      </c>
      <c r="AA28" s="40">
        <f t="shared" si="30"/>
        <v>0</v>
      </c>
      <c r="AC28" s="40">
        <f t="shared" si="31"/>
        <v>0</v>
      </c>
      <c r="AD28" s="40">
        <f t="shared" si="31"/>
        <v>0</v>
      </c>
      <c r="AE28" s="40">
        <f t="shared" si="31"/>
        <v>0</v>
      </c>
      <c r="AF28" s="40">
        <f t="shared" si="31"/>
        <v>0</v>
      </c>
      <c r="AG28" s="40">
        <f t="shared" si="31"/>
        <v>0</v>
      </c>
      <c r="AH28" s="40">
        <f t="shared" si="31"/>
        <v>0</v>
      </c>
    </row>
    <row r="29" spans="1:34">
      <c r="A29" s="42" t="str">
        <f t="shared" si="32"/>
        <v>Бухгалтер</v>
      </c>
      <c r="B29" s="39" t="s">
        <v>161</v>
      </c>
      <c r="C29" s="40"/>
      <c r="D29" s="40"/>
      <c r="E29" s="40">
        <f>Предположения!D69</f>
        <v>0</v>
      </c>
      <c r="F29" s="40">
        <f t="shared" si="30"/>
        <v>0</v>
      </c>
      <c r="G29" s="40">
        <f t="shared" si="30"/>
        <v>0</v>
      </c>
      <c r="H29" s="40">
        <f t="shared" si="30"/>
        <v>0</v>
      </c>
      <c r="I29" s="40">
        <f t="shared" si="30"/>
        <v>0</v>
      </c>
      <c r="J29" s="40">
        <f t="shared" si="30"/>
        <v>0</v>
      </c>
      <c r="K29" s="40">
        <f t="shared" si="30"/>
        <v>0</v>
      </c>
      <c r="L29" s="40">
        <f t="shared" si="30"/>
        <v>0</v>
      </c>
      <c r="M29" s="40">
        <f t="shared" si="30"/>
        <v>0</v>
      </c>
      <c r="N29" s="40">
        <f t="shared" si="30"/>
        <v>0</v>
      </c>
      <c r="O29" s="40">
        <f t="shared" si="30"/>
        <v>0</v>
      </c>
      <c r="P29" s="40">
        <f t="shared" si="30"/>
        <v>0</v>
      </c>
      <c r="Q29" s="40">
        <f t="shared" si="30"/>
        <v>0</v>
      </c>
      <c r="R29" s="40">
        <f t="shared" si="30"/>
        <v>0</v>
      </c>
      <c r="S29" s="40">
        <f t="shared" si="30"/>
        <v>0</v>
      </c>
      <c r="T29" s="40">
        <f t="shared" si="30"/>
        <v>0</v>
      </c>
      <c r="U29" s="40">
        <f t="shared" si="30"/>
        <v>0</v>
      </c>
      <c r="V29" s="40">
        <f t="shared" si="30"/>
        <v>0</v>
      </c>
      <c r="W29" s="40">
        <f t="shared" si="30"/>
        <v>0</v>
      </c>
      <c r="X29" s="40">
        <f t="shared" si="30"/>
        <v>0</v>
      </c>
      <c r="Y29" s="40">
        <f t="shared" si="30"/>
        <v>0</v>
      </c>
      <c r="Z29" s="40">
        <f t="shared" si="30"/>
        <v>0</v>
      </c>
      <c r="AA29" s="40">
        <f t="shared" si="30"/>
        <v>0</v>
      </c>
      <c r="AC29" s="40">
        <f t="shared" si="31"/>
        <v>0</v>
      </c>
      <c r="AD29" s="40">
        <f t="shared" si="31"/>
        <v>0</v>
      </c>
      <c r="AE29" s="40">
        <f t="shared" si="31"/>
        <v>0</v>
      </c>
      <c r="AF29" s="40">
        <f t="shared" si="31"/>
        <v>0</v>
      </c>
      <c r="AG29" s="40">
        <f t="shared" si="31"/>
        <v>0</v>
      </c>
      <c r="AH29" s="40">
        <f t="shared" si="31"/>
        <v>0</v>
      </c>
    </row>
    <row r="30" spans="1:34">
      <c r="A30" s="42" t="str">
        <f t="shared" si="32"/>
        <v>Дизайнер</v>
      </c>
      <c r="B30" s="39" t="s">
        <v>161</v>
      </c>
      <c r="C30" s="40"/>
      <c r="D30" s="40"/>
      <c r="E30" s="40">
        <f>Предположения!D70</f>
        <v>0</v>
      </c>
      <c r="F30" s="40">
        <f t="shared" si="30"/>
        <v>0</v>
      </c>
      <c r="G30" s="40">
        <f t="shared" si="30"/>
        <v>0</v>
      </c>
      <c r="H30" s="40">
        <f t="shared" si="30"/>
        <v>0</v>
      </c>
      <c r="I30" s="40">
        <f t="shared" si="30"/>
        <v>0</v>
      </c>
      <c r="J30" s="40">
        <f t="shared" si="30"/>
        <v>0</v>
      </c>
      <c r="K30" s="40">
        <f t="shared" si="30"/>
        <v>0</v>
      </c>
      <c r="L30" s="40">
        <f t="shared" si="30"/>
        <v>0</v>
      </c>
      <c r="M30" s="40">
        <f t="shared" si="30"/>
        <v>0</v>
      </c>
      <c r="N30" s="40">
        <f t="shared" si="30"/>
        <v>0</v>
      </c>
      <c r="O30" s="40">
        <f t="shared" si="30"/>
        <v>0</v>
      </c>
      <c r="P30" s="40">
        <f t="shared" si="30"/>
        <v>0</v>
      </c>
      <c r="Q30" s="40">
        <f t="shared" si="30"/>
        <v>0</v>
      </c>
      <c r="R30" s="40">
        <f t="shared" si="30"/>
        <v>0</v>
      </c>
      <c r="S30" s="40">
        <f t="shared" si="30"/>
        <v>0</v>
      </c>
      <c r="T30" s="40">
        <f t="shared" si="30"/>
        <v>0</v>
      </c>
      <c r="U30" s="40">
        <f t="shared" si="30"/>
        <v>0</v>
      </c>
      <c r="V30" s="40">
        <f t="shared" si="30"/>
        <v>0</v>
      </c>
      <c r="W30" s="40">
        <f t="shared" si="30"/>
        <v>0</v>
      </c>
      <c r="X30" s="40">
        <f t="shared" si="30"/>
        <v>0</v>
      </c>
      <c r="Y30" s="40">
        <f t="shared" si="30"/>
        <v>0</v>
      </c>
      <c r="Z30" s="40">
        <f t="shared" si="30"/>
        <v>0</v>
      </c>
      <c r="AA30" s="40">
        <f t="shared" si="30"/>
        <v>0</v>
      </c>
      <c r="AC30" s="40">
        <f t="shared" si="31"/>
        <v>0</v>
      </c>
      <c r="AD30" s="40">
        <f t="shared" si="31"/>
        <v>0</v>
      </c>
      <c r="AE30" s="40">
        <f t="shared" si="31"/>
        <v>0</v>
      </c>
      <c r="AF30" s="40">
        <f t="shared" si="31"/>
        <v>0</v>
      </c>
      <c r="AG30" s="40">
        <f t="shared" si="31"/>
        <v>0</v>
      </c>
      <c r="AH30" s="40">
        <f t="shared" si="31"/>
        <v>0</v>
      </c>
    </row>
    <row r="31" spans="1:34">
      <c r="A31" s="42" t="str">
        <f t="shared" si="32"/>
        <v>Маркетолог</v>
      </c>
      <c r="B31" s="39" t="s">
        <v>161</v>
      </c>
      <c r="C31" s="40"/>
      <c r="D31" s="40"/>
      <c r="E31" s="40">
        <f>Предположения!D71</f>
        <v>0</v>
      </c>
      <c r="F31" s="40">
        <f t="shared" si="30"/>
        <v>0</v>
      </c>
      <c r="G31" s="40">
        <f t="shared" si="30"/>
        <v>0</v>
      </c>
      <c r="H31" s="40">
        <f t="shared" si="30"/>
        <v>0</v>
      </c>
      <c r="I31" s="40">
        <f t="shared" si="30"/>
        <v>0</v>
      </c>
      <c r="J31" s="40">
        <f t="shared" si="30"/>
        <v>0</v>
      </c>
      <c r="K31" s="40">
        <f t="shared" si="30"/>
        <v>0</v>
      </c>
      <c r="L31" s="40">
        <f t="shared" si="30"/>
        <v>0</v>
      </c>
      <c r="M31" s="40">
        <f t="shared" si="30"/>
        <v>0</v>
      </c>
      <c r="N31" s="40">
        <f t="shared" si="30"/>
        <v>0</v>
      </c>
      <c r="O31" s="40">
        <f t="shared" si="30"/>
        <v>0</v>
      </c>
      <c r="P31" s="40">
        <f t="shared" si="30"/>
        <v>0</v>
      </c>
      <c r="Q31" s="40">
        <f t="shared" si="30"/>
        <v>0</v>
      </c>
      <c r="R31" s="40">
        <f t="shared" si="30"/>
        <v>0</v>
      </c>
      <c r="S31" s="40">
        <f t="shared" si="30"/>
        <v>0</v>
      </c>
      <c r="T31" s="40">
        <f t="shared" si="30"/>
        <v>0</v>
      </c>
      <c r="U31" s="40">
        <f t="shared" si="30"/>
        <v>0</v>
      </c>
      <c r="V31" s="40">
        <f t="shared" si="30"/>
        <v>0</v>
      </c>
      <c r="W31" s="40">
        <f t="shared" si="30"/>
        <v>0</v>
      </c>
      <c r="X31" s="40">
        <f t="shared" si="30"/>
        <v>0</v>
      </c>
      <c r="Y31" s="40">
        <f t="shared" si="30"/>
        <v>0</v>
      </c>
      <c r="Z31" s="40">
        <f t="shared" si="30"/>
        <v>0</v>
      </c>
      <c r="AA31" s="40">
        <f t="shared" si="30"/>
        <v>0</v>
      </c>
      <c r="AC31" s="40">
        <f t="shared" si="31"/>
        <v>0</v>
      </c>
      <c r="AD31" s="40">
        <f t="shared" si="31"/>
        <v>0</v>
      </c>
      <c r="AE31" s="40">
        <f t="shared" si="31"/>
        <v>0</v>
      </c>
      <c r="AF31" s="40">
        <f t="shared" si="31"/>
        <v>0</v>
      </c>
      <c r="AG31" s="40">
        <f t="shared" si="31"/>
        <v>0</v>
      </c>
      <c r="AH31" s="40">
        <f t="shared" si="31"/>
        <v>0</v>
      </c>
    </row>
    <row r="32" spans="1:34">
      <c r="A32" s="42" t="str">
        <f t="shared" si="32"/>
        <v>IT- специалисты</v>
      </c>
      <c r="B32" s="39" t="s">
        <v>161</v>
      </c>
      <c r="C32" s="40"/>
      <c r="D32" s="40"/>
      <c r="E32" s="40">
        <f>Предположения!D65</f>
        <v>0</v>
      </c>
      <c r="F32" s="40">
        <f t="shared" si="30"/>
        <v>0</v>
      </c>
      <c r="G32" s="40">
        <f>F32*(1+G$7)</f>
        <v>0</v>
      </c>
      <c r="H32" s="40">
        <f t="shared" ref="H32:O32" si="33">G32*(1+H$7)</f>
        <v>0</v>
      </c>
      <c r="I32" s="40">
        <f t="shared" si="33"/>
        <v>0</v>
      </c>
      <c r="J32" s="40">
        <f t="shared" si="33"/>
        <v>0</v>
      </c>
      <c r="K32" s="40">
        <f t="shared" si="33"/>
        <v>0</v>
      </c>
      <c r="L32" s="40">
        <f t="shared" si="33"/>
        <v>0</v>
      </c>
      <c r="M32" s="40">
        <f t="shared" si="33"/>
        <v>0</v>
      </c>
      <c r="N32" s="40">
        <f t="shared" si="33"/>
        <v>0</v>
      </c>
      <c r="O32" s="40">
        <f t="shared" si="33"/>
        <v>0</v>
      </c>
      <c r="P32" s="40">
        <f t="shared" ref="P32:P34" si="34">O32*(1+P$7)</f>
        <v>0</v>
      </c>
      <c r="Q32" s="40">
        <f t="shared" ref="Q32:Q34" si="35">P32*(1+Q$7)</f>
        <v>0</v>
      </c>
      <c r="R32" s="40">
        <f t="shared" ref="R32:R34" si="36">Q32*(1+R$7)</f>
        <v>0</v>
      </c>
      <c r="S32" s="40">
        <f t="shared" ref="S32:S34" si="37">R32*(1+S$7)</f>
        <v>0</v>
      </c>
      <c r="T32" s="40">
        <f t="shared" ref="T32:T34" si="38">S32*(1+T$7)</f>
        <v>0</v>
      </c>
      <c r="U32" s="40">
        <f t="shared" ref="U32:U34" si="39">T32*(1+U$7)</f>
        <v>0</v>
      </c>
      <c r="V32" s="40">
        <f t="shared" ref="V32:V34" si="40">U32*(1+V$7)</f>
        <v>0</v>
      </c>
      <c r="W32" s="40">
        <f t="shared" ref="W32:W34" si="41">V32*(1+W$7)</f>
        <v>0</v>
      </c>
      <c r="X32" s="40">
        <f t="shared" ref="X32:X34" si="42">W32*(1+X$7)</f>
        <v>0</v>
      </c>
      <c r="Y32" s="40">
        <f t="shared" ref="Y32:Y34" si="43">X32*(1+Y$7)</f>
        <v>0</v>
      </c>
      <c r="Z32" s="40">
        <f t="shared" ref="Z32:Z34" si="44">Y32*(1+Z$7)</f>
        <v>0</v>
      </c>
      <c r="AA32" s="40">
        <f t="shared" ref="AA32:AA34" si="45">Z32*(1+AA$7)</f>
        <v>0</v>
      </c>
      <c r="AC32" s="40">
        <f t="shared" si="31"/>
        <v>0</v>
      </c>
      <c r="AD32" s="40">
        <f t="shared" ref="AD32:AH34" si="46">AVERAGEIF($D$4:$AA$4,AD$5,$D32:$AA32)</f>
        <v>0</v>
      </c>
      <c r="AE32" s="40">
        <f t="shared" si="46"/>
        <v>0</v>
      </c>
      <c r="AF32" s="40">
        <f t="shared" si="46"/>
        <v>0</v>
      </c>
      <c r="AG32" s="40">
        <f t="shared" si="46"/>
        <v>0</v>
      </c>
      <c r="AH32" s="40">
        <f t="shared" si="46"/>
        <v>0</v>
      </c>
    </row>
    <row r="33" spans="1:34">
      <c r="A33" s="42" t="str">
        <f t="shared" si="32"/>
        <v xml:space="preserve">Специалисты отдела технической поддержки и обучения </v>
      </c>
      <c r="B33" s="39" t="s">
        <v>161</v>
      </c>
      <c r="C33" s="40"/>
      <c r="D33" s="40"/>
      <c r="E33" s="40">
        <f>Предположения!D66</f>
        <v>0</v>
      </c>
      <c r="F33" s="40">
        <f t="shared" si="30"/>
        <v>0</v>
      </c>
      <c r="G33" s="40">
        <f t="shared" si="30"/>
        <v>0</v>
      </c>
      <c r="H33" s="40">
        <f t="shared" si="30"/>
        <v>0</v>
      </c>
      <c r="I33" s="40">
        <f t="shared" si="30"/>
        <v>0</v>
      </c>
      <c r="J33" s="40">
        <f t="shared" si="30"/>
        <v>0</v>
      </c>
      <c r="K33" s="40">
        <f t="shared" si="30"/>
        <v>0</v>
      </c>
      <c r="L33" s="40">
        <f t="shared" si="30"/>
        <v>0</v>
      </c>
      <c r="M33" s="40">
        <f t="shared" si="30"/>
        <v>0</v>
      </c>
      <c r="N33" s="40">
        <f t="shared" si="30"/>
        <v>0</v>
      </c>
      <c r="O33" s="40">
        <f t="shared" si="30"/>
        <v>0</v>
      </c>
      <c r="P33" s="40">
        <f t="shared" si="34"/>
        <v>0</v>
      </c>
      <c r="Q33" s="40">
        <f t="shared" si="35"/>
        <v>0</v>
      </c>
      <c r="R33" s="40">
        <f t="shared" si="36"/>
        <v>0</v>
      </c>
      <c r="S33" s="40">
        <f t="shared" si="37"/>
        <v>0</v>
      </c>
      <c r="T33" s="40">
        <f t="shared" si="38"/>
        <v>0</v>
      </c>
      <c r="U33" s="40">
        <f t="shared" si="39"/>
        <v>0</v>
      </c>
      <c r="V33" s="40">
        <f t="shared" si="40"/>
        <v>0</v>
      </c>
      <c r="W33" s="40">
        <f t="shared" si="41"/>
        <v>0</v>
      </c>
      <c r="X33" s="40">
        <f t="shared" si="42"/>
        <v>0</v>
      </c>
      <c r="Y33" s="40">
        <f t="shared" si="43"/>
        <v>0</v>
      </c>
      <c r="Z33" s="40">
        <f t="shared" si="44"/>
        <v>0</v>
      </c>
      <c r="AA33" s="40">
        <f t="shared" si="45"/>
        <v>0</v>
      </c>
      <c r="AC33" s="40">
        <f t="shared" si="31"/>
        <v>0</v>
      </c>
      <c r="AD33" s="40">
        <f t="shared" si="46"/>
        <v>0</v>
      </c>
      <c r="AE33" s="40">
        <f t="shared" si="46"/>
        <v>0</v>
      </c>
      <c r="AF33" s="40">
        <f t="shared" si="46"/>
        <v>0</v>
      </c>
      <c r="AG33" s="40">
        <f t="shared" si="46"/>
        <v>0</v>
      </c>
      <c r="AH33" s="40">
        <f t="shared" si="46"/>
        <v>0</v>
      </c>
    </row>
    <row r="34" spans="1:34">
      <c r="A34" s="42" t="str">
        <f t="shared" si="32"/>
        <v xml:space="preserve">Менеджеры по продажам </v>
      </c>
      <c r="B34" s="39" t="s">
        <v>161</v>
      </c>
      <c r="C34" s="40"/>
      <c r="D34" s="40"/>
      <c r="E34" s="40">
        <f>Предположения!D67</f>
        <v>0</v>
      </c>
      <c r="F34" s="40">
        <f t="shared" si="30"/>
        <v>0</v>
      </c>
      <c r="G34" s="40">
        <f t="shared" si="30"/>
        <v>0</v>
      </c>
      <c r="H34" s="40">
        <f t="shared" si="30"/>
        <v>0</v>
      </c>
      <c r="I34" s="40">
        <f t="shared" si="30"/>
        <v>0</v>
      </c>
      <c r="J34" s="40">
        <f t="shared" si="30"/>
        <v>0</v>
      </c>
      <c r="K34" s="40">
        <f t="shared" si="30"/>
        <v>0</v>
      </c>
      <c r="L34" s="40">
        <f t="shared" si="30"/>
        <v>0</v>
      </c>
      <c r="M34" s="40">
        <f t="shared" si="30"/>
        <v>0</v>
      </c>
      <c r="N34" s="40">
        <f t="shared" si="30"/>
        <v>0</v>
      </c>
      <c r="O34" s="40">
        <f t="shared" si="30"/>
        <v>0</v>
      </c>
      <c r="P34" s="40">
        <f t="shared" si="34"/>
        <v>0</v>
      </c>
      <c r="Q34" s="40">
        <f t="shared" si="35"/>
        <v>0</v>
      </c>
      <c r="R34" s="40">
        <f t="shared" si="36"/>
        <v>0</v>
      </c>
      <c r="S34" s="40">
        <f t="shared" si="37"/>
        <v>0</v>
      </c>
      <c r="T34" s="40">
        <f t="shared" si="38"/>
        <v>0</v>
      </c>
      <c r="U34" s="40">
        <f t="shared" si="39"/>
        <v>0</v>
      </c>
      <c r="V34" s="40">
        <f t="shared" si="40"/>
        <v>0</v>
      </c>
      <c r="W34" s="40">
        <f t="shared" si="41"/>
        <v>0</v>
      </c>
      <c r="X34" s="40">
        <f t="shared" si="42"/>
        <v>0</v>
      </c>
      <c r="Y34" s="40">
        <f t="shared" si="43"/>
        <v>0</v>
      </c>
      <c r="Z34" s="40">
        <f t="shared" si="44"/>
        <v>0</v>
      </c>
      <c r="AA34" s="40">
        <f t="shared" si="45"/>
        <v>0</v>
      </c>
      <c r="AC34" s="40">
        <f t="shared" si="31"/>
        <v>0</v>
      </c>
      <c r="AD34" s="40">
        <f t="shared" si="46"/>
        <v>0</v>
      </c>
      <c r="AE34" s="40">
        <f t="shared" si="46"/>
        <v>0</v>
      </c>
      <c r="AF34" s="40">
        <f t="shared" si="46"/>
        <v>0</v>
      </c>
      <c r="AG34" s="40">
        <f t="shared" si="46"/>
        <v>0</v>
      </c>
      <c r="AH34" s="40">
        <f t="shared" si="46"/>
        <v>0</v>
      </c>
    </row>
    <row r="35" spans="1:34">
      <c r="A35" s="73" t="s">
        <v>162</v>
      </c>
      <c r="B35" s="73" t="s">
        <v>161</v>
      </c>
      <c r="C35" s="74"/>
      <c r="D35" s="74"/>
      <c r="E35" s="74">
        <f t="shared" ref="E35:AA35" si="47">SUMPRODUCT(E24:E34,E10:E20)/E21</f>
        <v>292500</v>
      </c>
      <c r="F35" s="74">
        <f t="shared" si="47"/>
        <v>292500</v>
      </c>
      <c r="G35" s="74">
        <f t="shared" si="47"/>
        <v>292500</v>
      </c>
      <c r="H35" s="74">
        <f t="shared" si="47"/>
        <v>292500</v>
      </c>
      <c r="I35" s="74">
        <f t="shared" si="47"/>
        <v>292500</v>
      </c>
      <c r="J35" s="74">
        <f t="shared" si="47"/>
        <v>292500</v>
      </c>
      <c r="K35" s="74">
        <f t="shared" si="47"/>
        <v>292500</v>
      </c>
      <c r="L35" s="74">
        <f t="shared" si="47"/>
        <v>292500</v>
      </c>
      <c r="M35" s="74">
        <f t="shared" si="47"/>
        <v>292500</v>
      </c>
      <c r="N35" s="74">
        <f t="shared" si="47"/>
        <v>292500</v>
      </c>
      <c r="O35" s="74">
        <f t="shared" si="47"/>
        <v>292500</v>
      </c>
      <c r="P35" s="74">
        <f t="shared" si="47"/>
        <v>292500</v>
      </c>
      <c r="Q35" s="74">
        <f t="shared" si="47"/>
        <v>292500</v>
      </c>
      <c r="R35" s="74">
        <f t="shared" si="47"/>
        <v>292500</v>
      </c>
      <c r="S35" s="74">
        <f t="shared" si="47"/>
        <v>292500</v>
      </c>
      <c r="T35" s="74">
        <f t="shared" si="47"/>
        <v>292500</v>
      </c>
      <c r="U35" s="74">
        <f t="shared" si="47"/>
        <v>292500</v>
      </c>
      <c r="V35" s="74">
        <f t="shared" si="47"/>
        <v>292500</v>
      </c>
      <c r="W35" s="74">
        <f t="shared" si="47"/>
        <v>292500</v>
      </c>
      <c r="X35" s="74">
        <f t="shared" si="47"/>
        <v>292500</v>
      </c>
      <c r="Y35" s="74">
        <f t="shared" si="47"/>
        <v>292500</v>
      </c>
      <c r="Z35" s="74">
        <f t="shared" si="47"/>
        <v>292500</v>
      </c>
      <c r="AA35" s="74">
        <f t="shared" si="47"/>
        <v>292500</v>
      </c>
      <c r="AC35" s="74">
        <f t="shared" si="31"/>
        <v>292500</v>
      </c>
      <c r="AD35" s="74">
        <f t="shared" si="31"/>
        <v>292500</v>
      </c>
      <c r="AE35" s="74">
        <f t="shared" si="31"/>
        <v>292500</v>
      </c>
      <c r="AF35" s="74">
        <f t="shared" si="31"/>
        <v>292500</v>
      </c>
      <c r="AG35" s="74">
        <f t="shared" si="31"/>
        <v>292500</v>
      </c>
      <c r="AH35" s="74">
        <f t="shared" si="31"/>
        <v>292500</v>
      </c>
    </row>
    <row r="36" spans="1:34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C36" s="40"/>
      <c r="AD36" s="40"/>
      <c r="AE36" s="40"/>
      <c r="AF36" s="40"/>
      <c r="AG36" s="40"/>
      <c r="AH36" s="40"/>
    </row>
    <row r="37" spans="1:34">
      <c r="A37" s="73" t="s">
        <v>163</v>
      </c>
      <c r="B37" s="73" t="s">
        <v>96</v>
      </c>
      <c r="C37" s="74"/>
      <c r="D37" s="74"/>
      <c r="E37" s="74">
        <f>SUM(E38:E40)</f>
        <v>877.5</v>
      </c>
      <c r="F37" s="74">
        <f t="shared" ref="F37:W37" si="48">SUM(F38:F40)</f>
        <v>877.5</v>
      </c>
      <c r="G37" s="74">
        <f t="shared" si="48"/>
        <v>877.5</v>
      </c>
      <c r="H37" s="74">
        <f t="shared" si="48"/>
        <v>877.5</v>
      </c>
      <c r="I37" s="74">
        <f t="shared" si="48"/>
        <v>877.5</v>
      </c>
      <c r="J37" s="74">
        <f t="shared" si="48"/>
        <v>877.5</v>
      </c>
      <c r="K37" s="74">
        <f t="shared" si="48"/>
        <v>877.5</v>
      </c>
      <c r="L37" s="74">
        <f t="shared" si="48"/>
        <v>877.5</v>
      </c>
      <c r="M37" s="74">
        <f t="shared" si="48"/>
        <v>877.5</v>
      </c>
      <c r="N37" s="74">
        <f t="shared" si="48"/>
        <v>877.5</v>
      </c>
      <c r="O37" s="74">
        <f t="shared" si="48"/>
        <v>877.5</v>
      </c>
      <c r="P37" s="74">
        <f t="shared" si="48"/>
        <v>877.5</v>
      </c>
      <c r="Q37" s="74">
        <f t="shared" si="48"/>
        <v>877.5</v>
      </c>
      <c r="R37" s="74">
        <f t="shared" si="48"/>
        <v>877.5</v>
      </c>
      <c r="S37" s="74">
        <f t="shared" si="48"/>
        <v>877.5</v>
      </c>
      <c r="T37" s="74">
        <f t="shared" si="48"/>
        <v>877.5</v>
      </c>
      <c r="U37" s="74">
        <f t="shared" si="48"/>
        <v>877.5</v>
      </c>
      <c r="V37" s="74">
        <f t="shared" si="48"/>
        <v>877.5</v>
      </c>
      <c r="W37" s="74">
        <f t="shared" si="48"/>
        <v>877.5</v>
      </c>
      <c r="X37" s="74">
        <f t="shared" ref="X37:AA37" si="49">SUM(X38:X40)</f>
        <v>877.5</v>
      </c>
      <c r="Y37" s="74">
        <f t="shared" si="49"/>
        <v>877.5</v>
      </c>
      <c r="Z37" s="74">
        <f t="shared" si="49"/>
        <v>877.5</v>
      </c>
      <c r="AA37" s="74">
        <f t="shared" si="49"/>
        <v>877.5</v>
      </c>
      <c r="AC37" s="74">
        <f t="shared" ref="AC37:AC40" si="50">SUMIF($D$4:$AA$4,AC$5,$D37:$AA37)</f>
        <v>2632.5</v>
      </c>
      <c r="AD37" s="74">
        <f t="shared" ref="AD37:AH40" si="51">SUMIF($D$4:$AA$4,AD$5,$D37:$AA37)</f>
        <v>3510</v>
      </c>
      <c r="AE37" s="74">
        <f t="shared" si="51"/>
        <v>3510</v>
      </c>
      <c r="AF37" s="74">
        <f t="shared" si="51"/>
        <v>3510</v>
      </c>
      <c r="AG37" s="74">
        <f t="shared" si="51"/>
        <v>3510</v>
      </c>
      <c r="AH37" s="74">
        <f t="shared" si="51"/>
        <v>3510</v>
      </c>
    </row>
    <row r="38" spans="1:34">
      <c r="A38" s="39" t="s">
        <v>164</v>
      </c>
      <c r="B38" s="39" t="s">
        <v>96</v>
      </c>
      <c r="C38" s="40"/>
      <c r="D38" s="40"/>
      <c r="E38" s="40">
        <f t="shared" ref="E38:AA38" si="52">SUMPRODUCT(E32:E33,E18:E19)/1000*12*E$6</f>
        <v>0</v>
      </c>
      <c r="F38" s="40">
        <f t="shared" si="52"/>
        <v>0</v>
      </c>
      <c r="G38" s="40">
        <f t="shared" si="52"/>
        <v>0</v>
      </c>
      <c r="H38" s="40">
        <f t="shared" si="52"/>
        <v>0</v>
      </c>
      <c r="I38" s="40">
        <f t="shared" si="52"/>
        <v>0</v>
      </c>
      <c r="J38" s="40">
        <f t="shared" si="52"/>
        <v>0</v>
      </c>
      <c r="K38" s="40">
        <f t="shared" si="52"/>
        <v>0</v>
      </c>
      <c r="L38" s="40">
        <f t="shared" si="52"/>
        <v>0</v>
      </c>
      <c r="M38" s="40">
        <f t="shared" si="52"/>
        <v>0</v>
      </c>
      <c r="N38" s="40">
        <f t="shared" si="52"/>
        <v>0</v>
      </c>
      <c r="O38" s="40">
        <f t="shared" si="52"/>
        <v>0</v>
      </c>
      <c r="P38" s="40">
        <f t="shared" si="52"/>
        <v>0</v>
      </c>
      <c r="Q38" s="40">
        <f t="shared" si="52"/>
        <v>0</v>
      </c>
      <c r="R38" s="40">
        <f t="shared" si="52"/>
        <v>0</v>
      </c>
      <c r="S38" s="40">
        <f t="shared" si="52"/>
        <v>0</v>
      </c>
      <c r="T38" s="40">
        <f t="shared" si="52"/>
        <v>0</v>
      </c>
      <c r="U38" s="40">
        <f t="shared" si="52"/>
        <v>0</v>
      </c>
      <c r="V38" s="40">
        <f t="shared" si="52"/>
        <v>0</v>
      </c>
      <c r="W38" s="40">
        <f t="shared" si="52"/>
        <v>0</v>
      </c>
      <c r="X38" s="40">
        <f t="shared" si="52"/>
        <v>0</v>
      </c>
      <c r="Y38" s="40">
        <f t="shared" si="52"/>
        <v>0</v>
      </c>
      <c r="Z38" s="40">
        <f t="shared" si="52"/>
        <v>0</v>
      </c>
      <c r="AA38" s="40">
        <f t="shared" si="52"/>
        <v>0</v>
      </c>
      <c r="AC38" s="40">
        <f t="shared" si="50"/>
        <v>0</v>
      </c>
      <c r="AD38" s="40">
        <f t="shared" si="51"/>
        <v>0</v>
      </c>
      <c r="AE38" s="40">
        <f t="shared" si="51"/>
        <v>0</v>
      </c>
      <c r="AF38" s="40">
        <f t="shared" si="51"/>
        <v>0</v>
      </c>
      <c r="AG38" s="40">
        <f t="shared" si="51"/>
        <v>0</v>
      </c>
      <c r="AH38" s="40">
        <f t="shared" si="51"/>
        <v>0</v>
      </c>
    </row>
    <row r="39" spans="1:34">
      <c r="A39" s="39" t="s">
        <v>165</v>
      </c>
      <c r="B39" s="39" t="s">
        <v>96</v>
      </c>
      <c r="C39" s="40"/>
      <c r="D39" s="40"/>
      <c r="E39" s="40">
        <f>SUMPRODUCT(E24:E31,E10:E17)/1000*12*E$6</f>
        <v>877.5</v>
      </c>
      <c r="F39" s="40">
        <f t="shared" ref="F39:AA39" si="53">SUMPRODUCT(F24:F31,F10:F17)/1000*12*F$6</f>
        <v>877.5</v>
      </c>
      <c r="G39" s="40">
        <f t="shared" si="53"/>
        <v>877.5</v>
      </c>
      <c r="H39" s="40">
        <f t="shared" si="53"/>
        <v>877.5</v>
      </c>
      <c r="I39" s="40">
        <f t="shared" si="53"/>
        <v>877.5</v>
      </c>
      <c r="J39" s="40">
        <f t="shared" si="53"/>
        <v>877.5</v>
      </c>
      <c r="K39" s="40">
        <f t="shared" si="53"/>
        <v>877.5</v>
      </c>
      <c r="L39" s="40">
        <f t="shared" si="53"/>
        <v>877.5</v>
      </c>
      <c r="M39" s="40">
        <f t="shared" si="53"/>
        <v>877.5</v>
      </c>
      <c r="N39" s="40">
        <f t="shared" si="53"/>
        <v>877.5</v>
      </c>
      <c r="O39" s="40">
        <f t="shared" si="53"/>
        <v>877.5</v>
      </c>
      <c r="P39" s="40">
        <f t="shared" si="53"/>
        <v>877.5</v>
      </c>
      <c r="Q39" s="40">
        <f t="shared" si="53"/>
        <v>877.5</v>
      </c>
      <c r="R39" s="40">
        <f t="shared" si="53"/>
        <v>877.5</v>
      </c>
      <c r="S39" s="40">
        <f t="shared" si="53"/>
        <v>877.5</v>
      </c>
      <c r="T39" s="40">
        <f t="shared" si="53"/>
        <v>877.5</v>
      </c>
      <c r="U39" s="40">
        <f t="shared" si="53"/>
        <v>877.5</v>
      </c>
      <c r="V39" s="40">
        <f t="shared" si="53"/>
        <v>877.5</v>
      </c>
      <c r="W39" s="40">
        <f t="shared" si="53"/>
        <v>877.5</v>
      </c>
      <c r="X39" s="40">
        <f t="shared" si="53"/>
        <v>877.5</v>
      </c>
      <c r="Y39" s="40">
        <f t="shared" si="53"/>
        <v>877.5</v>
      </c>
      <c r="Z39" s="40">
        <f t="shared" si="53"/>
        <v>877.5</v>
      </c>
      <c r="AA39" s="40">
        <f t="shared" si="53"/>
        <v>877.5</v>
      </c>
      <c r="AC39" s="40">
        <f t="shared" si="50"/>
        <v>2632.5</v>
      </c>
      <c r="AD39" s="40">
        <f t="shared" si="51"/>
        <v>3510</v>
      </c>
      <c r="AE39" s="40">
        <f t="shared" si="51"/>
        <v>3510</v>
      </c>
      <c r="AF39" s="40">
        <f t="shared" si="51"/>
        <v>3510</v>
      </c>
      <c r="AG39" s="40">
        <f t="shared" si="51"/>
        <v>3510</v>
      </c>
      <c r="AH39" s="40">
        <f t="shared" si="51"/>
        <v>3510</v>
      </c>
    </row>
    <row r="40" spans="1:34">
      <c r="A40" s="39" t="s">
        <v>166</v>
      </c>
      <c r="B40" s="39" t="s">
        <v>96</v>
      </c>
      <c r="C40" s="40"/>
      <c r="D40" s="40"/>
      <c r="E40" s="40">
        <f>IFERROR(SUMPRODUCT(E34,E20)/1000*12*E$6,)</f>
        <v>0</v>
      </c>
      <c r="F40" s="40">
        <f t="shared" ref="F40:AA40" si="54">IFERROR(SUMPRODUCT(F34,F20)/1000*12*F$6,)</f>
        <v>0</v>
      </c>
      <c r="G40" s="40">
        <f t="shared" si="54"/>
        <v>0</v>
      </c>
      <c r="H40" s="40">
        <f t="shared" si="54"/>
        <v>0</v>
      </c>
      <c r="I40" s="40">
        <f t="shared" si="54"/>
        <v>0</v>
      </c>
      <c r="J40" s="40">
        <f t="shared" si="54"/>
        <v>0</v>
      </c>
      <c r="K40" s="40">
        <f t="shared" si="54"/>
        <v>0</v>
      </c>
      <c r="L40" s="40">
        <f t="shared" si="54"/>
        <v>0</v>
      </c>
      <c r="M40" s="40">
        <f t="shared" si="54"/>
        <v>0</v>
      </c>
      <c r="N40" s="40">
        <f t="shared" si="54"/>
        <v>0</v>
      </c>
      <c r="O40" s="40">
        <f t="shared" si="54"/>
        <v>0</v>
      </c>
      <c r="P40" s="40">
        <f t="shared" si="54"/>
        <v>0</v>
      </c>
      <c r="Q40" s="40">
        <f t="shared" si="54"/>
        <v>0</v>
      </c>
      <c r="R40" s="40">
        <f t="shared" si="54"/>
        <v>0</v>
      </c>
      <c r="S40" s="40">
        <f t="shared" si="54"/>
        <v>0</v>
      </c>
      <c r="T40" s="40">
        <f t="shared" si="54"/>
        <v>0</v>
      </c>
      <c r="U40" s="40">
        <f t="shared" si="54"/>
        <v>0</v>
      </c>
      <c r="V40" s="40">
        <f t="shared" si="54"/>
        <v>0</v>
      </c>
      <c r="W40" s="40">
        <f t="shared" si="54"/>
        <v>0</v>
      </c>
      <c r="X40" s="40">
        <f t="shared" si="54"/>
        <v>0</v>
      </c>
      <c r="Y40" s="40">
        <f t="shared" si="54"/>
        <v>0</v>
      </c>
      <c r="Z40" s="40">
        <f t="shared" si="54"/>
        <v>0</v>
      </c>
      <c r="AA40" s="40">
        <f t="shared" si="54"/>
        <v>0</v>
      </c>
      <c r="AC40" s="40">
        <f t="shared" si="50"/>
        <v>0</v>
      </c>
      <c r="AD40" s="40">
        <f t="shared" si="51"/>
        <v>0</v>
      </c>
      <c r="AE40" s="40">
        <f t="shared" si="51"/>
        <v>0</v>
      </c>
      <c r="AF40" s="40">
        <f t="shared" si="51"/>
        <v>0</v>
      </c>
      <c r="AG40" s="40">
        <f t="shared" si="51"/>
        <v>0</v>
      </c>
      <c r="AH40" s="40">
        <f t="shared" si="51"/>
        <v>0</v>
      </c>
    </row>
    <row r="41" spans="1:34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C41" s="40"/>
      <c r="AD41" s="40"/>
      <c r="AE41" s="40"/>
      <c r="AF41" s="40"/>
      <c r="AG41" s="40"/>
      <c r="AH41" s="40"/>
    </row>
    <row r="42" spans="1:34">
      <c r="A42" s="39" t="s">
        <v>54</v>
      </c>
      <c r="B42" s="39" t="s">
        <v>49</v>
      </c>
      <c r="C42" s="47"/>
      <c r="D42" s="47"/>
      <c r="E42" s="70">
        <f>Предположения!E13+Предположения!E17</f>
        <v>0.30199999999999999</v>
      </c>
      <c r="F42" s="70">
        <f>Предположения!F13+Предположения!F17</f>
        <v>0.30199999999999999</v>
      </c>
      <c r="G42" s="70">
        <f>Предположения!G13+Предположения!G17</f>
        <v>0.30199999999999999</v>
      </c>
      <c r="H42" s="70">
        <f>Предположения!H13+Предположения!H17</f>
        <v>0.30199999999999999</v>
      </c>
      <c r="I42" s="70">
        <f>Предположения!I13+Предположения!I17</f>
        <v>0.30199999999999999</v>
      </c>
      <c r="J42" s="70">
        <f>Предположения!J13+Предположения!J17</f>
        <v>0.30199999999999999</v>
      </c>
      <c r="K42" s="70">
        <f>Предположения!K13+Предположения!K17</f>
        <v>0.30199999999999999</v>
      </c>
      <c r="L42" s="70">
        <f>Предположения!L13+Предположения!L17</f>
        <v>0.30199999999999999</v>
      </c>
      <c r="M42" s="70">
        <f>Предположения!M13+Предположения!M17</f>
        <v>0.30199999999999999</v>
      </c>
      <c r="N42" s="70">
        <f>Предположения!N13+Предположения!N17</f>
        <v>0.30199999999999999</v>
      </c>
      <c r="O42" s="70">
        <f>Предположения!O13+Предположения!O17</f>
        <v>0.30199999999999999</v>
      </c>
      <c r="P42" s="70">
        <f>Предположения!P13+Предположения!P17</f>
        <v>0.30199999999999999</v>
      </c>
      <c r="Q42" s="70">
        <f>Предположения!Q13+Предположения!Q17</f>
        <v>0.30199999999999999</v>
      </c>
      <c r="R42" s="70">
        <f>Предположения!R13+Предположения!R17</f>
        <v>0.30199999999999999</v>
      </c>
      <c r="S42" s="70">
        <f>Предположения!S13+Предположения!S17</f>
        <v>0.30199999999999999</v>
      </c>
      <c r="T42" s="70">
        <f>Предположения!T13+Предположения!T17</f>
        <v>0.30199999999999999</v>
      </c>
      <c r="U42" s="70">
        <f>Предположения!U13+Предположения!U17</f>
        <v>0.30199999999999999</v>
      </c>
      <c r="V42" s="70">
        <f>Предположения!V13+Предположения!V17</f>
        <v>0.30199999999999999</v>
      </c>
      <c r="W42" s="70">
        <f>Предположения!W13+Предположения!W17</f>
        <v>0.30199999999999999</v>
      </c>
      <c r="X42" s="70">
        <f>Предположения!X13+Предположения!X17</f>
        <v>0.30199999999999999</v>
      </c>
      <c r="Y42" s="70">
        <f>Предположения!Y13+Предположения!Y17</f>
        <v>0.30199999999999999</v>
      </c>
      <c r="Z42" s="70">
        <f>Предположения!Z13+Предположения!Z17</f>
        <v>0.30199999999999999</v>
      </c>
      <c r="AA42" s="70">
        <f>Предположения!AA13+Предположения!AA17</f>
        <v>0.30199999999999999</v>
      </c>
      <c r="AC42" s="70">
        <f t="shared" ref="AC42:AH42" si="55">AVERAGEIF($D$4:$AA$4,AC$5,$D42:$AA42)</f>
        <v>0.30199999999999999</v>
      </c>
      <c r="AD42" s="70">
        <f t="shared" si="55"/>
        <v>0.30199999999999999</v>
      </c>
      <c r="AE42" s="70">
        <f t="shared" si="55"/>
        <v>0.30199999999999999</v>
      </c>
      <c r="AF42" s="70">
        <f t="shared" si="55"/>
        <v>0.30199999999999999</v>
      </c>
      <c r="AG42" s="70">
        <f t="shared" si="55"/>
        <v>0.30199999999999999</v>
      </c>
      <c r="AH42" s="70">
        <f t="shared" si="55"/>
        <v>0.30199999999999999</v>
      </c>
    </row>
    <row r="43" spans="1:34">
      <c r="A43" s="73" t="s">
        <v>167</v>
      </c>
      <c r="B43" s="73" t="s">
        <v>96</v>
      </c>
      <c r="C43" s="74"/>
      <c r="D43" s="74"/>
      <c r="E43" s="74">
        <f t="shared" ref="E43:T46" si="56">E37*E$42</f>
        <v>265.005</v>
      </c>
      <c r="F43" s="74">
        <f t="shared" ref="F43:O43" si="57">F37*F42</f>
        <v>265.005</v>
      </c>
      <c r="G43" s="74">
        <f t="shared" si="57"/>
        <v>265.005</v>
      </c>
      <c r="H43" s="74">
        <f t="shared" si="57"/>
        <v>265.005</v>
      </c>
      <c r="I43" s="74">
        <f t="shared" si="57"/>
        <v>265.005</v>
      </c>
      <c r="J43" s="74">
        <f t="shared" si="57"/>
        <v>265.005</v>
      </c>
      <c r="K43" s="74">
        <f t="shared" si="57"/>
        <v>265.005</v>
      </c>
      <c r="L43" s="74">
        <f t="shared" si="57"/>
        <v>265.005</v>
      </c>
      <c r="M43" s="74">
        <f t="shared" si="57"/>
        <v>265.005</v>
      </c>
      <c r="N43" s="74">
        <f t="shared" si="57"/>
        <v>265.005</v>
      </c>
      <c r="O43" s="74">
        <f t="shared" si="57"/>
        <v>265.005</v>
      </c>
      <c r="P43" s="74">
        <f t="shared" ref="P43:W43" si="58">P37*P42</f>
        <v>265.005</v>
      </c>
      <c r="Q43" s="74">
        <f t="shared" si="58"/>
        <v>265.005</v>
      </c>
      <c r="R43" s="74">
        <f t="shared" si="58"/>
        <v>265.005</v>
      </c>
      <c r="S43" s="74">
        <f t="shared" si="58"/>
        <v>265.005</v>
      </c>
      <c r="T43" s="74">
        <f t="shared" si="58"/>
        <v>265.005</v>
      </c>
      <c r="U43" s="74">
        <f t="shared" si="58"/>
        <v>265.005</v>
      </c>
      <c r="V43" s="74">
        <f t="shared" si="58"/>
        <v>265.005</v>
      </c>
      <c r="W43" s="74">
        <f t="shared" si="58"/>
        <v>265.005</v>
      </c>
      <c r="X43" s="74">
        <f t="shared" ref="X43:AA43" si="59">X37*X42</f>
        <v>265.005</v>
      </c>
      <c r="Y43" s="74">
        <f t="shared" si="59"/>
        <v>265.005</v>
      </c>
      <c r="Z43" s="74">
        <f t="shared" si="59"/>
        <v>265.005</v>
      </c>
      <c r="AA43" s="74">
        <f t="shared" si="59"/>
        <v>265.005</v>
      </c>
      <c r="AC43" s="74">
        <f t="shared" ref="AC43:AH53" si="60">SUMIF($D$4:$AA$4,AC$5,$D43:$AA43)</f>
        <v>795.01499999999999</v>
      </c>
      <c r="AD43" s="74">
        <f t="shared" si="60"/>
        <v>1060.02</v>
      </c>
      <c r="AE43" s="74">
        <f t="shared" si="60"/>
        <v>1060.02</v>
      </c>
      <c r="AF43" s="74">
        <f t="shared" si="60"/>
        <v>1060.02</v>
      </c>
      <c r="AG43" s="74">
        <f t="shared" si="60"/>
        <v>1060.02</v>
      </c>
      <c r="AH43" s="74">
        <f t="shared" si="60"/>
        <v>1060.02</v>
      </c>
    </row>
    <row r="44" spans="1:34">
      <c r="A44" s="39" t="s">
        <v>164</v>
      </c>
      <c r="B44" s="39" t="s">
        <v>96</v>
      </c>
      <c r="C44" s="40"/>
      <c r="D44" s="40"/>
      <c r="E44" s="40">
        <f t="shared" si="56"/>
        <v>0</v>
      </c>
      <c r="F44" s="40">
        <f t="shared" ref="F44:W46" si="61">F38*F$42</f>
        <v>0</v>
      </c>
      <c r="G44" s="40">
        <f t="shared" si="61"/>
        <v>0</v>
      </c>
      <c r="H44" s="40">
        <f t="shared" si="61"/>
        <v>0</v>
      </c>
      <c r="I44" s="40">
        <f t="shared" si="61"/>
        <v>0</v>
      </c>
      <c r="J44" s="40">
        <f t="shared" si="61"/>
        <v>0</v>
      </c>
      <c r="K44" s="40">
        <f t="shared" si="61"/>
        <v>0</v>
      </c>
      <c r="L44" s="40">
        <f t="shared" si="61"/>
        <v>0</v>
      </c>
      <c r="M44" s="40">
        <f t="shared" si="61"/>
        <v>0</v>
      </c>
      <c r="N44" s="40">
        <f t="shared" si="61"/>
        <v>0</v>
      </c>
      <c r="O44" s="40">
        <f t="shared" si="61"/>
        <v>0</v>
      </c>
      <c r="P44" s="40">
        <f t="shared" si="61"/>
        <v>0</v>
      </c>
      <c r="Q44" s="40">
        <f t="shared" si="61"/>
        <v>0</v>
      </c>
      <c r="R44" s="40">
        <f t="shared" si="61"/>
        <v>0</v>
      </c>
      <c r="S44" s="40">
        <f t="shared" si="61"/>
        <v>0</v>
      </c>
      <c r="T44" s="40">
        <f t="shared" si="61"/>
        <v>0</v>
      </c>
      <c r="U44" s="40">
        <f t="shared" si="61"/>
        <v>0</v>
      </c>
      <c r="V44" s="40">
        <f t="shared" si="61"/>
        <v>0</v>
      </c>
      <c r="W44" s="40">
        <f t="shared" si="61"/>
        <v>0</v>
      </c>
      <c r="X44" s="40">
        <f t="shared" ref="X44:AA46" si="62">X38*X$42</f>
        <v>0</v>
      </c>
      <c r="Y44" s="40">
        <f t="shared" si="62"/>
        <v>0</v>
      </c>
      <c r="Z44" s="40">
        <f t="shared" si="62"/>
        <v>0</v>
      </c>
      <c r="AA44" s="40">
        <f t="shared" si="62"/>
        <v>0</v>
      </c>
      <c r="AC44" s="40">
        <f t="shared" si="60"/>
        <v>0</v>
      </c>
      <c r="AD44" s="40">
        <f t="shared" si="60"/>
        <v>0</v>
      </c>
      <c r="AE44" s="40">
        <f t="shared" si="60"/>
        <v>0</v>
      </c>
      <c r="AF44" s="40">
        <f t="shared" si="60"/>
        <v>0</v>
      </c>
      <c r="AG44" s="40">
        <f t="shared" si="60"/>
        <v>0</v>
      </c>
      <c r="AH44" s="40">
        <f t="shared" si="60"/>
        <v>0</v>
      </c>
    </row>
    <row r="45" spans="1:34">
      <c r="A45" s="39" t="s">
        <v>165</v>
      </c>
      <c r="B45" s="39" t="s">
        <v>96</v>
      </c>
      <c r="C45" s="40"/>
      <c r="D45" s="40"/>
      <c r="E45" s="40">
        <f t="shared" si="56"/>
        <v>265.005</v>
      </c>
      <c r="F45" s="40">
        <f t="shared" si="56"/>
        <v>265.005</v>
      </c>
      <c r="G45" s="40">
        <f t="shared" si="56"/>
        <v>265.005</v>
      </c>
      <c r="H45" s="40">
        <f t="shared" si="56"/>
        <v>265.005</v>
      </c>
      <c r="I45" s="40">
        <f t="shared" si="56"/>
        <v>265.005</v>
      </c>
      <c r="J45" s="40">
        <f t="shared" si="56"/>
        <v>265.005</v>
      </c>
      <c r="K45" s="40">
        <f t="shared" si="56"/>
        <v>265.005</v>
      </c>
      <c r="L45" s="40">
        <f t="shared" si="56"/>
        <v>265.005</v>
      </c>
      <c r="M45" s="40">
        <f t="shared" si="56"/>
        <v>265.005</v>
      </c>
      <c r="N45" s="40">
        <f t="shared" si="56"/>
        <v>265.005</v>
      </c>
      <c r="O45" s="40">
        <f t="shared" si="56"/>
        <v>265.005</v>
      </c>
      <c r="P45" s="40">
        <f t="shared" si="56"/>
        <v>265.005</v>
      </c>
      <c r="Q45" s="40">
        <f t="shared" si="56"/>
        <v>265.005</v>
      </c>
      <c r="R45" s="40">
        <f t="shared" si="56"/>
        <v>265.005</v>
      </c>
      <c r="S45" s="40">
        <f t="shared" si="56"/>
        <v>265.005</v>
      </c>
      <c r="T45" s="40">
        <f t="shared" si="56"/>
        <v>265.005</v>
      </c>
      <c r="U45" s="40">
        <f t="shared" si="61"/>
        <v>265.005</v>
      </c>
      <c r="V45" s="40">
        <f t="shared" si="61"/>
        <v>265.005</v>
      </c>
      <c r="W45" s="40">
        <f t="shared" si="61"/>
        <v>265.005</v>
      </c>
      <c r="X45" s="40">
        <f t="shared" si="62"/>
        <v>265.005</v>
      </c>
      <c r="Y45" s="40">
        <f t="shared" si="62"/>
        <v>265.005</v>
      </c>
      <c r="Z45" s="40">
        <f t="shared" si="62"/>
        <v>265.005</v>
      </c>
      <c r="AA45" s="40">
        <f t="shared" si="62"/>
        <v>265.005</v>
      </c>
      <c r="AC45" s="40">
        <f t="shared" si="60"/>
        <v>795.01499999999999</v>
      </c>
      <c r="AD45" s="40">
        <f t="shared" si="60"/>
        <v>1060.02</v>
      </c>
      <c r="AE45" s="40">
        <f t="shared" si="60"/>
        <v>1060.02</v>
      </c>
      <c r="AF45" s="40">
        <f t="shared" si="60"/>
        <v>1060.02</v>
      </c>
      <c r="AG45" s="40">
        <f t="shared" si="60"/>
        <v>1060.02</v>
      </c>
      <c r="AH45" s="40">
        <f t="shared" si="60"/>
        <v>1060.02</v>
      </c>
    </row>
    <row r="46" spans="1:34">
      <c r="A46" s="39" t="s">
        <v>166</v>
      </c>
      <c r="B46" s="39" t="s">
        <v>96</v>
      </c>
      <c r="C46" s="40"/>
      <c r="D46" s="40"/>
      <c r="E46" s="40">
        <f t="shared" si="56"/>
        <v>0</v>
      </c>
      <c r="F46" s="40">
        <f t="shared" si="61"/>
        <v>0</v>
      </c>
      <c r="G46" s="40">
        <f t="shared" si="61"/>
        <v>0</v>
      </c>
      <c r="H46" s="40">
        <f t="shared" si="61"/>
        <v>0</v>
      </c>
      <c r="I46" s="40">
        <f t="shared" si="61"/>
        <v>0</v>
      </c>
      <c r="J46" s="40">
        <f t="shared" si="61"/>
        <v>0</v>
      </c>
      <c r="K46" s="40">
        <f t="shared" si="61"/>
        <v>0</v>
      </c>
      <c r="L46" s="40">
        <f t="shared" si="61"/>
        <v>0</v>
      </c>
      <c r="M46" s="40">
        <f t="shared" si="61"/>
        <v>0</v>
      </c>
      <c r="N46" s="40">
        <f t="shared" si="61"/>
        <v>0</v>
      </c>
      <c r="O46" s="40">
        <f t="shared" si="61"/>
        <v>0</v>
      </c>
      <c r="P46" s="40">
        <f t="shared" si="61"/>
        <v>0</v>
      </c>
      <c r="Q46" s="40">
        <f t="shared" si="61"/>
        <v>0</v>
      </c>
      <c r="R46" s="40">
        <f t="shared" si="61"/>
        <v>0</v>
      </c>
      <c r="S46" s="40">
        <f t="shared" si="61"/>
        <v>0</v>
      </c>
      <c r="T46" s="40">
        <f t="shared" si="61"/>
        <v>0</v>
      </c>
      <c r="U46" s="40">
        <f t="shared" si="61"/>
        <v>0</v>
      </c>
      <c r="V46" s="40">
        <f t="shared" si="61"/>
        <v>0</v>
      </c>
      <c r="W46" s="40">
        <f t="shared" si="61"/>
        <v>0</v>
      </c>
      <c r="X46" s="40">
        <f t="shared" si="62"/>
        <v>0</v>
      </c>
      <c r="Y46" s="40">
        <f t="shared" si="62"/>
        <v>0</v>
      </c>
      <c r="Z46" s="40">
        <f t="shared" si="62"/>
        <v>0</v>
      </c>
      <c r="AA46" s="40">
        <f t="shared" si="62"/>
        <v>0</v>
      </c>
      <c r="AC46" s="40">
        <f t="shared" si="60"/>
        <v>0</v>
      </c>
      <c r="AD46" s="40">
        <f t="shared" si="60"/>
        <v>0</v>
      </c>
      <c r="AE46" s="40">
        <f t="shared" si="60"/>
        <v>0</v>
      </c>
      <c r="AF46" s="40">
        <f t="shared" si="60"/>
        <v>0</v>
      </c>
      <c r="AG46" s="40">
        <f t="shared" si="60"/>
        <v>0</v>
      </c>
      <c r="AH46" s="40">
        <f t="shared" si="60"/>
        <v>0</v>
      </c>
    </row>
    <row r="47" spans="1:34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C47" s="40"/>
      <c r="AD47" s="40"/>
      <c r="AE47" s="40"/>
      <c r="AF47" s="40"/>
      <c r="AG47" s="40"/>
      <c r="AH47" s="40"/>
    </row>
    <row r="48" spans="1:34">
      <c r="A48" s="73" t="s">
        <v>168</v>
      </c>
      <c r="B48" s="73" t="s">
        <v>96</v>
      </c>
      <c r="C48" s="74"/>
      <c r="D48" s="74"/>
      <c r="E48" s="74">
        <f t="shared" ref="E48:W51" si="63">E43+E37</f>
        <v>1142.5050000000001</v>
      </c>
      <c r="F48" s="74">
        <f t="shared" si="63"/>
        <v>1142.5050000000001</v>
      </c>
      <c r="G48" s="74">
        <f t="shared" si="63"/>
        <v>1142.5050000000001</v>
      </c>
      <c r="H48" s="74">
        <f t="shared" si="63"/>
        <v>1142.5050000000001</v>
      </c>
      <c r="I48" s="74">
        <f t="shared" si="63"/>
        <v>1142.5050000000001</v>
      </c>
      <c r="J48" s="74">
        <f t="shared" si="63"/>
        <v>1142.5050000000001</v>
      </c>
      <c r="K48" s="74">
        <f t="shared" si="63"/>
        <v>1142.5050000000001</v>
      </c>
      <c r="L48" s="74">
        <f t="shared" si="63"/>
        <v>1142.5050000000001</v>
      </c>
      <c r="M48" s="74">
        <f t="shared" si="63"/>
        <v>1142.5050000000001</v>
      </c>
      <c r="N48" s="74">
        <f t="shared" si="63"/>
        <v>1142.5050000000001</v>
      </c>
      <c r="O48" s="74">
        <f t="shared" si="63"/>
        <v>1142.5050000000001</v>
      </c>
      <c r="P48" s="74">
        <f t="shared" si="63"/>
        <v>1142.5050000000001</v>
      </c>
      <c r="Q48" s="74">
        <f t="shared" si="63"/>
        <v>1142.5050000000001</v>
      </c>
      <c r="R48" s="74">
        <f t="shared" si="63"/>
        <v>1142.5050000000001</v>
      </c>
      <c r="S48" s="74">
        <f t="shared" si="63"/>
        <v>1142.5050000000001</v>
      </c>
      <c r="T48" s="74">
        <f t="shared" si="63"/>
        <v>1142.5050000000001</v>
      </c>
      <c r="U48" s="74">
        <f t="shared" si="63"/>
        <v>1142.5050000000001</v>
      </c>
      <c r="V48" s="74">
        <f t="shared" si="63"/>
        <v>1142.5050000000001</v>
      </c>
      <c r="W48" s="74">
        <f t="shared" si="63"/>
        <v>1142.5050000000001</v>
      </c>
      <c r="X48" s="74">
        <f t="shared" ref="X48:AA51" si="64">X43+X37</f>
        <v>1142.5050000000001</v>
      </c>
      <c r="Y48" s="74">
        <f t="shared" si="64"/>
        <v>1142.5050000000001</v>
      </c>
      <c r="Z48" s="74">
        <f t="shared" si="64"/>
        <v>1142.5050000000001</v>
      </c>
      <c r="AA48" s="74">
        <f t="shared" si="64"/>
        <v>1142.5050000000001</v>
      </c>
      <c r="AC48" s="74">
        <f t="shared" si="60"/>
        <v>3427.5150000000003</v>
      </c>
      <c r="AD48" s="74">
        <f t="shared" si="60"/>
        <v>4570.0200000000004</v>
      </c>
      <c r="AE48" s="74">
        <f t="shared" si="60"/>
        <v>4570.0200000000004</v>
      </c>
      <c r="AF48" s="74">
        <f t="shared" si="60"/>
        <v>4570.0200000000004</v>
      </c>
      <c r="AG48" s="74">
        <f t="shared" si="60"/>
        <v>4570.0200000000004</v>
      </c>
      <c r="AH48" s="74">
        <f t="shared" si="60"/>
        <v>4570.0200000000004</v>
      </c>
    </row>
    <row r="49" spans="1:34">
      <c r="A49" s="39" t="s">
        <v>164</v>
      </c>
      <c r="B49" s="39" t="s">
        <v>96</v>
      </c>
      <c r="C49" s="40"/>
      <c r="D49" s="40"/>
      <c r="E49" s="40">
        <f t="shared" si="63"/>
        <v>0</v>
      </c>
      <c r="F49" s="40">
        <f t="shared" ref="F49:W49" si="65">F44+F38</f>
        <v>0</v>
      </c>
      <c r="G49" s="40">
        <f t="shared" si="65"/>
        <v>0</v>
      </c>
      <c r="H49" s="40">
        <f t="shared" si="65"/>
        <v>0</v>
      </c>
      <c r="I49" s="40">
        <f t="shared" si="65"/>
        <v>0</v>
      </c>
      <c r="J49" s="40">
        <f t="shared" si="65"/>
        <v>0</v>
      </c>
      <c r="K49" s="40">
        <f t="shared" si="65"/>
        <v>0</v>
      </c>
      <c r="L49" s="40">
        <f t="shared" si="65"/>
        <v>0</v>
      </c>
      <c r="M49" s="40">
        <f t="shared" si="65"/>
        <v>0</v>
      </c>
      <c r="N49" s="40">
        <f t="shared" si="65"/>
        <v>0</v>
      </c>
      <c r="O49" s="40">
        <f t="shared" si="65"/>
        <v>0</v>
      </c>
      <c r="P49" s="40">
        <f t="shared" si="65"/>
        <v>0</v>
      </c>
      <c r="Q49" s="40">
        <f t="shared" si="65"/>
        <v>0</v>
      </c>
      <c r="R49" s="40">
        <f t="shared" si="65"/>
        <v>0</v>
      </c>
      <c r="S49" s="40">
        <f t="shared" si="65"/>
        <v>0</v>
      </c>
      <c r="T49" s="40">
        <f t="shared" si="65"/>
        <v>0</v>
      </c>
      <c r="U49" s="40">
        <f t="shared" si="65"/>
        <v>0</v>
      </c>
      <c r="V49" s="40">
        <f t="shared" si="65"/>
        <v>0</v>
      </c>
      <c r="W49" s="40">
        <f t="shared" si="65"/>
        <v>0</v>
      </c>
      <c r="X49" s="40">
        <f t="shared" si="64"/>
        <v>0</v>
      </c>
      <c r="Y49" s="40">
        <f t="shared" si="64"/>
        <v>0</v>
      </c>
      <c r="Z49" s="40">
        <f t="shared" si="64"/>
        <v>0</v>
      </c>
      <c r="AA49" s="40">
        <f t="shared" si="64"/>
        <v>0</v>
      </c>
      <c r="AC49" s="40">
        <f t="shared" si="60"/>
        <v>0</v>
      </c>
      <c r="AD49" s="40">
        <f t="shared" si="60"/>
        <v>0</v>
      </c>
      <c r="AE49" s="40">
        <f t="shared" si="60"/>
        <v>0</v>
      </c>
      <c r="AF49" s="40">
        <f t="shared" si="60"/>
        <v>0</v>
      </c>
      <c r="AG49" s="40">
        <f t="shared" si="60"/>
        <v>0</v>
      </c>
      <c r="AH49" s="40">
        <f t="shared" si="60"/>
        <v>0</v>
      </c>
    </row>
    <row r="50" spans="1:34">
      <c r="A50" s="39" t="s">
        <v>165</v>
      </c>
      <c r="B50" s="39" t="s">
        <v>96</v>
      </c>
      <c r="C50" s="40"/>
      <c r="D50" s="40"/>
      <c r="E50" s="40">
        <f t="shared" si="63"/>
        <v>1142.5050000000001</v>
      </c>
      <c r="F50" s="40">
        <f t="shared" si="63"/>
        <v>1142.5050000000001</v>
      </c>
      <c r="G50" s="40">
        <f t="shared" si="63"/>
        <v>1142.5050000000001</v>
      </c>
      <c r="H50" s="40">
        <f t="shared" si="63"/>
        <v>1142.5050000000001</v>
      </c>
      <c r="I50" s="40">
        <f t="shared" si="63"/>
        <v>1142.5050000000001</v>
      </c>
      <c r="J50" s="40">
        <f t="shared" si="63"/>
        <v>1142.5050000000001</v>
      </c>
      <c r="K50" s="40">
        <f t="shared" si="63"/>
        <v>1142.5050000000001</v>
      </c>
      <c r="L50" s="40">
        <f t="shared" si="63"/>
        <v>1142.5050000000001</v>
      </c>
      <c r="M50" s="40">
        <f t="shared" si="63"/>
        <v>1142.5050000000001</v>
      </c>
      <c r="N50" s="40">
        <f t="shared" si="63"/>
        <v>1142.5050000000001</v>
      </c>
      <c r="O50" s="40">
        <f t="shared" si="63"/>
        <v>1142.5050000000001</v>
      </c>
      <c r="P50" s="40">
        <f t="shared" si="63"/>
        <v>1142.5050000000001</v>
      </c>
      <c r="Q50" s="40">
        <f t="shared" si="63"/>
        <v>1142.5050000000001</v>
      </c>
      <c r="R50" s="40">
        <f t="shared" si="63"/>
        <v>1142.5050000000001</v>
      </c>
      <c r="S50" s="40">
        <f t="shared" si="63"/>
        <v>1142.5050000000001</v>
      </c>
      <c r="T50" s="40">
        <f t="shared" si="63"/>
        <v>1142.5050000000001</v>
      </c>
      <c r="U50" s="40">
        <f t="shared" si="63"/>
        <v>1142.5050000000001</v>
      </c>
      <c r="V50" s="40">
        <f t="shared" si="63"/>
        <v>1142.5050000000001</v>
      </c>
      <c r="W50" s="40">
        <f t="shared" si="63"/>
        <v>1142.5050000000001</v>
      </c>
      <c r="X50" s="40">
        <f t="shared" si="64"/>
        <v>1142.5050000000001</v>
      </c>
      <c r="Y50" s="40">
        <f t="shared" si="64"/>
        <v>1142.5050000000001</v>
      </c>
      <c r="Z50" s="40">
        <f t="shared" si="64"/>
        <v>1142.5050000000001</v>
      </c>
      <c r="AA50" s="40">
        <f t="shared" si="64"/>
        <v>1142.5050000000001</v>
      </c>
      <c r="AC50" s="40">
        <f t="shared" si="60"/>
        <v>3427.5150000000003</v>
      </c>
      <c r="AD50" s="40">
        <f t="shared" si="60"/>
        <v>4570.0200000000004</v>
      </c>
      <c r="AE50" s="40">
        <f t="shared" si="60"/>
        <v>4570.0200000000004</v>
      </c>
      <c r="AF50" s="40">
        <f t="shared" si="60"/>
        <v>4570.0200000000004</v>
      </c>
      <c r="AG50" s="40">
        <f t="shared" si="60"/>
        <v>4570.0200000000004</v>
      </c>
      <c r="AH50" s="40">
        <f t="shared" si="60"/>
        <v>4570.0200000000004</v>
      </c>
    </row>
    <row r="51" spans="1:34">
      <c r="A51" s="39" t="s">
        <v>166</v>
      </c>
      <c r="B51" s="39" t="s">
        <v>96</v>
      </c>
      <c r="C51" s="40"/>
      <c r="D51" s="40"/>
      <c r="E51" s="40">
        <f t="shared" si="63"/>
        <v>0</v>
      </c>
      <c r="F51" s="40">
        <f t="shared" si="63"/>
        <v>0</v>
      </c>
      <c r="G51" s="40">
        <f t="shared" si="63"/>
        <v>0</v>
      </c>
      <c r="H51" s="40">
        <f t="shared" si="63"/>
        <v>0</v>
      </c>
      <c r="I51" s="40">
        <f t="shared" si="63"/>
        <v>0</v>
      </c>
      <c r="J51" s="40">
        <f t="shared" si="63"/>
        <v>0</v>
      </c>
      <c r="K51" s="40">
        <f t="shared" si="63"/>
        <v>0</v>
      </c>
      <c r="L51" s="40">
        <f t="shared" si="63"/>
        <v>0</v>
      </c>
      <c r="M51" s="40">
        <f t="shared" si="63"/>
        <v>0</v>
      </c>
      <c r="N51" s="40">
        <f t="shared" si="63"/>
        <v>0</v>
      </c>
      <c r="O51" s="40">
        <f t="shared" si="63"/>
        <v>0</v>
      </c>
      <c r="P51" s="40">
        <f t="shared" si="63"/>
        <v>0</v>
      </c>
      <c r="Q51" s="40">
        <f t="shared" si="63"/>
        <v>0</v>
      </c>
      <c r="R51" s="40">
        <f t="shared" si="63"/>
        <v>0</v>
      </c>
      <c r="S51" s="40">
        <f t="shared" si="63"/>
        <v>0</v>
      </c>
      <c r="T51" s="40">
        <f t="shared" si="63"/>
        <v>0</v>
      </c>
      <c r="U51" s="40">
        <f t="shared" si="63"/>
        <v>0</v>
      </c>
      <c r="V51" s="40">
        <f t="shared" si="63"/>
        <v>0</v>
      </c>
      <c r="W51" s="40">
        <f t="shared" si="63"/>
        <v>0</v>
      </c>
      <c r="X51" s="40">
        <f t="shared" si="64"/>
        <v>0</v>
      </c>
      <c r="Y51" s="40">
        <f t="shared" si="64"/>
        <v>0</v>
      </c>
      <c r="Z51" s="40">
        <f t="shared" si="64"/>
        <v>0</v>
      </c>
      <c r="AA51" s="40">
        <f t="shared" si="64"/>
        <v>0</v>
      </c>
      <c r="AC51" s="40">
        <f t="shared" si="60"/>
        <v>0</v>
      </c>
      <c r="AD51" s="40">
        <f t="shared" si="60"/>
        <v>0</v>
      </c>
      <c r="AE51" s="40">
        <f t="shared" si="60"/>
        <v>0</v>
      </c>
      <c r="AF51" s="40">
        <f t="shared" si="60"/>
        <v>0</v>
      </c>
      <c r="AG51" s="40">
        <f t="shared" si="60"/>
        <v>0</v>
      </c>
      <c r="AH51" s="40">
        <f t="shared" si="60"/>
        <v>0</v>
      </c>
    </row>
    <row r="53" spans="1:34">
      <c r="A53" s="73" t="s">
        <v>147</v>
      </c>
      <c r="B53" s="73" t="s">
        <v>96</v>
      </c>
      <c r="C53" s="74"/>
      <c r="D53" s="74"/>
      <c r="E53" s="74"/>
      <c r="F53" s="74"/>
      <c r="G53" s="74"/>
      <c r="H53" s="74">
        <f>SUMIF(Выручка!$AC$5:$AH$5,Персонал!H3,Выручка!$AC$37:$AH$37)*Предположения!$C$72</f>
        <v>0</v>
      </c>
      <c r="I53" s="74">
        <f>SUMIF(Выручка!$AC$5:$AH$5,Персонал!I3,Выручка!$AC$37:$AH$37)*Предположения!$C$72</f>
        <v>0</v>
      </c>
      <c r="J53" s="74">
        <f>SUMIF(Выручка!$AC$5:$AH$5,Персонал!J3,Выручка!$AC$37:$AH$37)*Предположения!$C$72</f>
        <v>0</v>
      </c>
      <c r="K53" s="74">
        <f>SUMIF(Выручка!$AC$5:$AH$5,Персонал!K3,Выручка!$AC$37:$AH$37)*Предположения!$C$72</f>
        <v>0</v>
      </c>
      <c r="L53" s="74">
        <f>SUMIF(Выручка!$AC$5:$AH$5,Персонал!L3,Выручка!$AC$37:$AH$37)*Предположения!$C$72</f>
        <v>0</v>
      </c>
      <c r="M53" s="74">
        <f>SUMIF(Выручка!$AC$5:$AH$5,Персонал!M3,Выручка!$AC$37:$AH$37)*Предположения!$C$72</f>
        <v>0</v>
      </c>
      <c r="N53" s="74">
        <f>SUMIF(Выручка!$AC$5:$AH$5,Персонал!N3,Выручка!$AC$37:$AH$37)*Предположения!$C$72</f>
        <v>0</v>
      </c>
      <c r="O53" s="74">
        <f>SUMIF(Выручка!$AC$5:$AH$5,Персонал!O3,Выручка!$AC$37:$AH$37)*Предположения!$C$72</f>
        <v>0</v>
      </c>
      <c r="P53" s="74">
        <f>SUMIF(Выручка!$AC$5:$AH$5,Персонал!P3,Выручка!$AC$37:$AH$37)*Предположения!$C$72</f>
        <v>0</v>
      </c>
      <c r="Q53" s="74">
        <f>SUMIF(Выручка!$AC$5:$AH$5,Персонал!Q3,Выручка!$AC$37:$AH$37)*Предположения!$C$72</f>
        <v>0</v>
      </c>
      <c r="R53" s="74">
        <f>SUMIF(Выручка!$AC$5:$AH$5,Персонал!R3,Выручка!$AC$37:$AH$37)*Предположения!$C$72</f>
        <v>0</v>
      </c>
      <c r="S53" s="74">
        <f>SUMIF(Выручка!$AC$5:$AH$5,Персонал!S3,Выручка!$AC$37:$AH$37)*Предположения!$C$72</f>
        <v>0</v>
      </c>
      <c r="T53" s="74">
        <f>SUMIF(Выручка!$AC$5:$AH$5,Персонал!T3,Выручка!$AC$37:$AH$37)*Предположения!$C$72</f>
        <v>0</v>
      </c>
      <c r="U53" s="74">
        <f>SUMIF(Выручка!$AC$5:$AH$5,Персонал!U3,Выручка!$AC$37:$AH$37)*Предположения!$C$72</f>
        <v>0</v>
      </c>
      <c r="V53" s="74">
        <f>SUMIF(Выручка!$AC$5:$AH$5,Персонал!V3,Выручка!$AC$37:$AH$37)*Предположения!$C$72</f>
        <v>0</v>
      </c>
      <c r="W53" s="74">
        <f>SUMIF(Выручка!$AC$5:$AH$5,Персонал!W3,Выручка!$AC$37:$AH$37)*Предположения!$C$72</f>
        <v>0</v>
      </c>
      <c r="X53" s="74">
        <f>SUMIF(Выручка!$AC$5:$AH$5,Персонал!X3,Выручка!$AC$37:$AH$37)*Предположения!$C$72</f>
        <v>0</v>
      </c>
      <c r="Y53" s="74">
        <f>SUMIF(Выручка!$AC$5:$AH$5,Персонал!Y3,Выручка!$AC$37:$AH$37)*Предположения!$C$72</f>
        <v>0</v>
      </c>
      <c r="Z53" s="74">
        <f>SUMIF(Выручка!$AC$5:$AH$5,Персонал!Z3,Выручка!$AC$37:$AH$37)*Предположения!$C$72</f>
        <v>0</v>
      </c>
      <c r="AA53" s="74">
        <f>SUMIF(Выручка!$AC$5:$AH$5,Персонал!AA3,Выручка!$AC$37:$AH$37)*Предположения!$C$72</f>
        <v>0</v>
      </c>
      <c r="AC53" s="74">
        <f t="shared" si="60"/>
        <v>0</v>
      </c>
      <c r="AD53" s="74">
        <f t="shared" si="60"/>
        <v>0</v>
      </c>
      <c r="AE53" s="74">
        <f t="shared" si="60"/>
        <v>0</v>
      </c>
      <c r="AF53" s="74">
        <f t="shared" si="60"/>
        <v>0</v>
      </c>
      <c r="AG53" s="74">
        <f t="shared" si="60"/>
        <v>0</v>
      </c>
      <c r="AH53" s="74">
        <f t="shared" si="60"/>
        <v>0</v>
      </c>
    </row>
  </sheetData>
  <dataValidations count="1">
    <dataValidation type="list" allowBlank="1" showInputMessage="1" showErrorMessage="1" sqref="A15:A17 A9:A10" xr:uid="{00D3007B-0027-4504-8DFF-00E100900070}">
      <formula1>worker</formula1>
    </dataValidation>
  </dataValidation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2:AH37"/>
  <sheetViews>
    <sheetView zoomScale="85" workbookViewId="0">
      <pane xSplit="2" ySplit="6" topLeftCell="C11" activePane="bottomRight" state="frozen"/>
      <selection activeCell="Y44" sqref="Y44"/>
      <selection pane="topRight"/>
      <selection pane="bottomLeft"/>
      <selection pane="bottomRight" activeCell="D9" sqref="D9"/>
    </sheetView>
  </sheetViews>
  <sheetFormatPr defaultColWidth="9.109375" defaultRowHeight="13.2"/>
  <cols>
    <col min="1" max="1" width="42.88671875" style="11" customWidth="1"/>
    <col min="2" max="2" width="11.44140625" style="12" customWidth="1"/>
    <col min="3" max="3" width="14.33203125" style="11" customWidth="1"/>
    <col min="4" max="27" width="11.44140625" style="11" customWidth="1"/>
    <col min="28" max="28" width="9.109375" style="11"/>
    <col min="29" max="34" width="11.44140625" style="11" customWidth="1"/>
    <col min="35" max="16384" width="9.109375" style="11"/>
  </cols>
  <sheetData>
    <row r="2" spans="1:34">
      <c r="A2" s="60" t="str">
        <f>'Титульный лист'!$B$2</f>
        <v>Бизнес-план проекта Indoor Air Technologies</v>
      </c>
      <c r="B2" s="77"/>
      <c r="C2" s="16"/>
    </row>
    <row r="3" spans="1:34">
      <c r="D3" s="40"/>
      <c r="E3" s="40"/>
      <c r="F3" s="40"/>
      <c r="G3" s="92">
        <f>G4</f>
        <v>2024</v>
      </c>
      <c r="H3" s="40"/>
      <c r="I3" s="40"/>
      <c r="J3" s="40"/>
      <c r="K3" s="92">
        <f>G3+1</f>
        <v>2025</v>
      </c>
      <c r="L3" s="92"/>
      <c r="M3" s="92"/>
      <c r="N3" s="92"/>
      <c r="O3" s="92">
        <f t="shared" ref="O3:AA3" si="0">K3+1</f>
        <v>2026</v>
      </c>
      <c r="P3" s="92"/>
      <c r="Q3" s="92"/>
      <c r="R3" s="92"/>
      <c r="S3" s="92">
        <f t="shared" si="0"/>
        <v>2027</v>
      </c>
      <c r="T3" s="92"/>
      <c r="U3" s="92"/>
      <c r="V3" s="92"/>
      <c r="W3" s="92">
        <f t="shared" si="0"/>
        <v>2028</v>
      </c>
      <c r="X3" s="92"/>
      <c r="Y3" s="92"/>
      <c r="Z3" s="92"/>
      <c r="AA3" s="92">
        <f t="shared" si="0"/>
        <v>2029</v>
      </c>
    </row>
    <row r="4" spans="1:34">
      <c r="A4" s="17" t="s">
        <v>211</v>
      </c>
      <c r="B4" s="15"/>
      <c r="C4" s="16"/>
      <c r="D4" s="92">
        <v>2024</v>
      </c>
      <c r="E4" s="92">
        <f>D4</f>
        <v>2024</v>
      </c>
      <c r="F4" s="92">
        <f t="shared" ref="F4:G4" si="1">E4</f>
        <v>2024</v>
      </c>
      <c r="G4" s="92">
        <f t="shared" si="1"/>
        <v>2024</v>
      </c>
      <c r="H4" s="92">
        <f>D4+1</f>
        <v>2025</v>
      </c>
      <c r="I4" s="92">
        <f t="shared" ref="I4:AA4" si="2">E4+1</f>
        <v>2025</v>
      </c>
      <c r="J4" s="92">
        <f t="shared" si="2"/>
        <v>2025</v>
      </c>
      <c r="K4" s="92">
        <f t="shared" si="2"/>
        <v>2025</v>
      </c>
      <c r="L4" s="92">
        <f t="shared" si="2"/>
        <v>2026</v>
      </c>
      <c r="M4" s="92">
        <f t="shared" si="2"/>
        <v>2026</v>
      </c>
      <c r="N4" s="92">
        <f t="shared" si="2"/>
        <v>2026</v>
      </c>
      <c r="O4" s="92">
        <f t="shared" si="2"/>
        <v>2026</v>
      </c>
      <c r="P4" s="92">
        <f t="shared" si="2"/>
        <v>2027</v>
      </c>
      <c r="Q4" s="92">
        <f t="shared" si="2"/>
        <v>2027</v>
      </c>
      <c r="R4" s="92">
        <f t="shared" si="2"/>
        <v>2027</v>
      </c>
      <c r="S4" s="92">
        <f t="shared" si="2"/>
        <v>2027</v>
      </c>
      <c r="T4" s="92">
        <f t="shared" si="2"/>
        <v>2028</v>
      </c>
      <c r="U4" s="92">
        <f t="shared" si="2"/>
        <v>2028</v>
      </c>
      <c r="V4" s="92">
        <f t="shared" si="2"/>
        <v>2028</v>
      </c>
      <c r="W4" s="92">
        <f t="shared" si="2"/>
        <v>2028</v>
      </c>
      <c r="X4" s="92">
        <f t="shared" si="2"/>
        <v>2029</v>
      </c>
      <c r="Y4" s="92">
        <f t="shared" si="2"/>
        <v>2029</v>
      </c>
      <c r="Z4" s="92">
        <f t="shared" si="2"/>
        <v>2029</v>
      </c>
      <c r="AA4" s="92">
        <f t="shared" si="2"/>
        <v>2029</v>
      </c>
      <c r="AC4" s="92"/>
      <c r="AD4" s="92"/>
      <c r="AE4" s="92"/>
      <c r="AF4" s="92"/>
      <c r="AG4" s="92"/>
      <c r="AH4" s="92"/>
    </row>
    <row r="5" spans="1:34">
      <c r="A5" s="65" t="s">
        <v>19</v>
      </c>
      <c r="B5" s="79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2024</v>
      </c>
      <c r="AD5" s="67">
        <f>AC5+1</f>
        <v>2025</v>
      </c>
      <c r="AE5" s="67">
        <f t="shared" ref="AE5:AH5" si="3">AD5+1</f>
        <v>2026</v>
      </c>
      <c r="AF5" s="67">
        <f t="shared" si="3"/>
        <v>2027</v>
      </c>
      <c r="AG5" s="67">
        <f t="shared" si="3"/>
        <v>2028</v>
      </c>
      <c r="AH5" s="67">
        <f t="shared" si="3"/>
        <v>2029</v>
      </c>
    </row>
    <row r="6" spans="1:34">
      <c r="A6" s="68" t="s">
        <v>46</v>
      </c>
      <c r="B6" s="80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>
        <f>Предположения!AC7</f>
        <v>0</v>
      </c>
      <c r="AD6" s="69">
        <f>Предположения!AD7</f>
        <v>0</v>
      </c>
      <c r="AE6" s="69">
        <f>Предположения!AE7</f>
        <v>0</v>
      </c>
      <c r="AF6" s="69">
        <f>Предположения!AF7</f>
        <v>0</v>
      </c>
      <c r="AG6" s="69">
        <f>Предположения!AG7</f>
        <v>0</v>
      </c>
      <c r="AH6" s="69">
        <f>Предположения!AH7</f>
        <v>0</v>
      </c>
    </row>
    <row r="7" spans="1:34">
      <c r="A7" s="68"/>
      <c r="B7" s="80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C7" s="69"/>
      <c r="AD7" s="69"/>
      <c r="AE7" s="69"/>
      <c r="AF7" s="69"/>
      <c r="AG7" s="69"/>
      <c r="AH7" s="69"/>
    </row>
    <row r="8" spans="1:34">
      <c r="A8" s="71" t="s">
        <v>106</v>
      </c>
      <c r="B8" s="7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C8" s="21"/>
      <c r="AD8" s="21"/>
      <c r="AE8" s="21"/>
      <c r="AF8" s="21"/>
      <c r="AG8" s="21"/>
      <c r="AH8" s="21"/>
    </row>
    <row r="9" spans="1:34">
      <c r="A9" s="39" t="s">
        <v>212</v>
      </c>
      <c r="B9" s="12" t="s">
        <v>107</v>
      </c>
      <c r="C9" s="40">
        <f>Предположения!C84</f>
        <v>14</v>
      </c>
      <c r="D9" s="40">
        <f>C9</f>
        <v>14</v>
      </c>
      <c r="E9" s="40">
        <f t="shared" ref="E9:O9" si="4">D9</f>
        <v>14</v>
      </c>
      <c r="F9" s="40">
        <f t="shared" si="4"/>
        <v>14</v>
      </c>
      <c r="G9" s="40">
        <f t="shared" si="4"/>
        <v>14</v>
      </c>
      <c r="H9" s="40">
        <f t="shared" si="4"/>
        <v>14</v>
      </c>
      <c r="I9" s="40">
        <f t="shared" si="4"/>
        <v>14</v>
      </c>
      <c r="J9" s="40">
        <f t="shared" si="4"/>
        <v>14</v>
      </c>
      <c r="K9" s="40">
        <f t="shared" si="4"/>
        <v>14</v>
      </c>
      <c r="L9" s="40">
        <f t="shared" si="4"/>
        <v>14</v>
      </c>
      <c r="M9" s="40">
        <f t="shared" si="4"/>
        <v>14</v>
      </c>
      <c r="N9" s="40">
        <f t="shared" si="4"/>
        <v>14</v>
      </c>
      <c r="O9" s="40">
        <f t="shared" si="4"/>
        <v>14</v>
      </c>
      <c r="P9" s="40">
        <f t="shared" ref="P9:AA9" si="5">O9</f>
        <v>14</v>
      </c>
      <c r="Q9" s="40">
        <f t="shared" si="5"/>
        <v>14</v>
      </c>
      <c r="R9" s="40">
        <f t="shared" si="5"/>
        <v>14</v>
      </c>
      <c r="S9" s="40">
        <f t="shared" si="5"/>
        <v>14</v>
      </c>
      <c r="T9" s="40">
        <f t="shared" si="5"/>
        <v>14</v>
      </c>
      <c r="U9" s="40">
        <f t="shared" si="5"/>
        <v>14</v>
      </c>
      <c r="V9" s="40">
        <f t="shared" si="5"/>
        <v>14</v>
      </c>
      <c r="W9" s="40">
        <f t="shared" si="5"/>
        <v>14</v>
      </c>
      <c r="X9" s="40">
        <f t="shared" si="5"/>
        <v>14</v>
      </c>
      <c r="Y9" s="40">
        <f t="shared" si="5"/>
        <v>14</v>
      </c>
      <c r="Z9" s="40">
        <f t="shared" si="5"/>
        <v>14</v>
      </c>
      <c r="AA9" s="40">
        <f t="shared" si="5"/>
        <v>14</v>
      </c>
      <c r="AC9" s="40">
        <f>AVERAGEIF($D$4:$AA$4,AC$5,$D9:$AA9)</f>
        <v>14</v>
      </c>
      <c r="AD9" s="40">
        <f t="shared" ref="AD9:AH9" si="6">AVERAGEIF($D$4:$AA$4,AD$5,$D9:$AA9)</f>
        <v>14</v>
      </c>
      <c r="AE9" s="40">
        <f t="shared" si="6"/>
        <v>14</v>
      </c>
      <c r="AF9" s="40">
        <f t="shared" si="6"/>
        <v>14</v>
      </c>
      <c r="AG9" s="40">
        <f t="shared" si="6"/>
        <v>14</v>
      </c>
      <c r="AH9" s="40">
        <f t="shared" si="6"/>
        <v>14</v>
      </c>
    </row>
    <row r="10" spans="1:34">
      <c r="A10" s="73" t="s">
        <v>213</v>
      </c>
      <c r="B10" s="73" t="s">
        <v>96</v>
      </c>
      <c r="C10" s="74"/>
      <c r="D10" s="74">
        <f>D9*(Затраты!D46-Затраты!D44)/(365*D$6)</f>
        <v>0</v>
      </c>
      <c r="E10" s="74">
        <f>E9*(Затраты!E46-Затраты!E44)/(365*E$6)</f>
        <v>0</v>
      </c>
      <c r="F10" s="74">
        <f>F9*(Затраты!F46-Затраты!F44)/(365*F$6)</f>
        <v>6.1367814783036456</v>
      </c>
      <c r="G10" s="74">
        <f>G9*(Затраты!G46-Затраты!G44)/(365*G$6)</f>
        <v>2.9764383561643832</v>
      </c>
      <c r="H10" s="74">
        <f>H9*(Затраты!H46-Затраты!H44)/(365*H$6)</f>
        <v>56.269416038868577</v>
      </c>
      <c r="I10" s="74">
        <f>I9*(Затраты!I46-Затраты!I44)/(365*I$6)</f>
        <v>75.765161790605418</v>
      </c>
      <c r="J10" s="74">
        <f>J9*(Затраты!J46-Затраты!J44)/(365*J$6)</f>
        <v>96.367702728912178</v>
      </c>
      <c r="K10" s="74">
        <f>K9*(Затраты!K46-Затраты!K44)/(365*K$6)</f>
        <v>121.10197591430516</v>
      </c>
      <c r="L10" s="74">
        <f>L9*(Затраты!L46-Затраты!L44)/(365*L$6)</f>
        <v>141.33944896745379</v>
      </c>
      <c r="M10" s="74">
        <f>M9*(Затраты!M46-Затраты!M44)/(365*M$6)</f>
        <v>165.89792059799075</v>
      </c>
      <c r="N10" s="74">
        <f>N9*(Затраты!N46-Затраты!N44)/(365*N$6)</f>
        <v>191.86260351608999</v>
      </c>
      <c r="O10" s="74">
        <f>O9*(Затраты!O46-Затраты!O44)/(365*O$6)</f>
        <v>222.27413632210173</v>
      </c>
      <c r="P10" s="74">
        <f>P9*(Затраты!P46-Затраты!P44)/(365*P$6)</f>
        <v>249.2511610080206</v>
      </c>
      <c r="Q10" s="74">
        <f>Q9*(Затраты!Q46-Затраты!Q44)/(365*Q$6)</f>
        <v>281.05752418110455</v>
      </c>
      <c r="R10" s="74">
        <f>R9*(Затраты!R46-Затраты!R44)/(365*R$6)</f>
        <v>314.8106861502684</v>
      </c>
      <c r="S10" s="74">
        <f>S9*(Затраты!S46-Затраты!S44)/(365*S$6)</f>
        <v>353.58531888463256</v>
      </c>
      <c r="T10" s="74">
        <f>T9*(Затраты!T46-Затраты!T44)/(365*T$6)</f>
        <v>381.88079843701604</v>
      </c>
      <c r="U10" s="74">
        <f>U9*(Затраты!U46-Затраты!U44)/(365*U$6)</f>
        <v>414.15344098946542</v>
      </c>
      <c r="V10" s="74">
        <f>V9*(Затраты!V46-Затраты!V44)/(365*V$6)</f>
        <v>421.51322436463425</v>
      </c>
      <c r="W10" s="74">
        <f>W9*(Затраты!W46-Затраты!W44)/(365*W$6)</f>
        <v>431.98023436419953</v>
      </c>
      <c r="X10" s="74">
        <f>X9*(Затраты!X46-Затраты!X44)/(365*X$6)</f>
        <v>435.91361754737392</v>
      </c>
      <c r="Y10" s="74">
        <f>Y9*(Затраты!Y46-Затраты!Y44)/(365*Y$6)</f>
        <v>442.93473328538812</v>
      </c>
      <c r="Z10" s="74">
        <f>Z9*(Затраты!Z46-Затраты!Z44)/(365*Z$6)</f>
        <v>450.06893580074131</v>
      </c>
      <c r="AA10" s="74">
        <f>AA9*(Затраты!AA46-Затраты!AA44)/(365*AA$6)</f>
        <v>460.29448490072997</v>
      </c>
      <c r="AC10" s="74">
        <f>SUMIF($D$4:$AA$4,AC$5,$D10:$AA10)</f>
        <v>9.1132198344680297</v>
      </c>
      <c r="AD10" s="74">
        <f t="shared" ref="AD10:AH10" si="7">SUMIF($D$4:$AA$4,AD$5,$D10:$AA10)</f>
        <v>349.50425647269134</v>
      </c>
      <c r="AE10" s="74">
        <f t="shared" si="7"/>
        <v>721.37410940363623</v>
      </c>
      <c r="AF10" s="74">
        <f t="shared" si="7"/>
        <v>1198.7046902240263</v>
      </c>
      <c r="AG10" s="74">
        <f t="shared" si="7"/>
        <v>1649.5276981553152</v>
      </c>
      <c r="AH10" s="74">
        <f t="shared" si="7"/>
        <v>1789.2117715342333</v>
      </c>
    </row>
    <row r="11" spans="1:34">
      <c r="A11" s="68"/>
      <c r="B11" s="80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C11" s="69"/>
      <c r="AD11" s="69"/>
      <c r="AE11" s="69"/>
      <c r="AF11" s="69"/>
      <c r="AG11" s="69"/>
      <c r="AH11" s="69"/>
    </row>
    <row r="12" spans="1:34" s="59" customFormat="1">
      <c r="A12" s="71" t="s">
        <v>109</v>
      </c>
      <c r="B12" s="7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C12" s="21"/>
      <c r="AD12" s="21"/>
      <c r="AE12" s="21"/>
      <c r="AF12" s="21"/>
      <c r="AG12" s="21"/>
      <c r="AH12" s="21"/>
    </row>
    <row r="13" spans="1:34" s="59" customFormat="1">
      <c r="A13" s="39" t="s">
        <v>212</v>
      </c>
      <c r="B13" s="12" t="s">
        <v>107</v>
      </c>
      <c r="C13" s="40">
        <f>Предположения!C85</f>
        <v>2</v>
      </c>
      <c r="D13" s="40">
        <f>C13</f>
        <v>2</v>
      </c>
      <c r="E13" s="40">
        <f t="shared" ref="E13:O13" si="8">D13</f>
        <v>2</v>
      </c>
      <c r="F13" s="40">
        <f t="shared" si="8"/>
        <v>2</v>
      </c>
      <c r="G13" s="40">
        <f t="shared" si="8"/>
        <v>2</v>
      </c>
      <c r="H13" s="40">
        <f t="shared" si="8"/>
        <v>2</v>
      </c>
      <c r="I13" s="40">
        <f t="shared" si="8"/>
        <v>2</v>
      </c>
      <c r="J13" s="40">
        <f t="shared" si="8"/>
        <v>2</v>
      </c>
      <c r="K13" s="40">
        <f t="shared" si="8"/>
        <v>2</v>
      </c>
      <c r="L13" s="40">
        <f t="shared" si="8"/>
        <v>2</v>
      </c>
      <c r="M13" s="40">
        <f t="shared" si="8"/>
        <v>2</v>
      </c>
      <c r="N13" s="40">
        <f t="shared" si="8"/>
        <v>2</v>
      </c>
      <c r="O13" s="40">
        <f t="shared" si="8"/>
        <v>2</v>
      </c>
      <c r="P13" s="40">
        <f t="shared" ref="P13:AA13" si="9">O13</f>
        <v>2</v>
      </c>
      <c r="Q13" s="40">
        <f t="shared" si="9"/>
        <v>2</v>
      </c>
      <c r="R13" s="40">
        <f t="shared" si="9"/>
        <v>2</v>
      </c>
      <c r="S13" s="40">
        <f t="shared" si="9"/>
        <v>2</v>
      </c>
      <c r="T13" s="40">
        <f t="shared" si="9"/>
        <v>2</v>
      </c>
      <c r="U13" s="40">
        <f t="shared" si="9"/>
        <v>2</v>
      </c>
      <c r="V13" s="40">
        <f t="shared" si="9"/>
        <v>2</v>
      </c>
      <c r="W13" s="40">
        <f t="shared" si="9"/>
        <v>2</v>
      </c>
      <c r="X13" s="40">
        <f t="shared" si="9"/>
        <v>2</v>
      </c>
      <c r="Y13" s="40">
        <f t="shared" si="9"/>
        <v>2</v>
      </c>
      <c r="Z13" s="40">
        <f t="shared" si="9"/>
        <v>2</v>
      </c>
      <c r="AA13" s="40">
        <f t="shared" si="9"/>
        <v>2</v>
      </c>
      <c r="AC13" s="40">
        <f>AVERAGEIF($D$4:$AA$4,AC$5,$D13:$AA13)</f>
        <v>2</v>
      </c>
      <c r="AD13" s="40">
        <f t="shared" ref="AD13:AH13" si="10">AVERAGEIF($D$4:$AA$4,AD$5,$D13:$AA13)</f>
        <v>2</v>
      </c>
      <c r="AE13" s="40">
        <f t="shared" si="10"/>
        <v>2</v>
      </c>
      <c r="AF13" s="40">
        <f t="shared" si="10"/>
        <v>2</v>
      </c>
      <c r="AG13" s="40">
        <f t="shared" si="10"/>
        <v>2</v>
      </c>
      <c r="AH13" s="40">
        <f t="shared" si="10"/>
        <v>2</v>
      </c>
    </row>
    <row r="14" spans="1:34">
      <c r="A14" s="73" t="s">
        <v>213</v>
      </c>
      <c r="B14" s="73" t="s">
        <v>96</v>
      </c>
      <c r="C14" s="74"/>
      <c r="D14" s="74">
        <f>D13*Выручка!D37/(365*D$6)</f>
        <v>0</v>
      </c>
      <c r="E14" s="74">
        <f>E13*Выручка!E37/(365*E$6)</f>
        <v>0</v>
      </c>
      <c r="F14" s="74">
        <f>F13*Выручка!F37/(365*F$6)</f>
        <v>0.95291637861857859</v>
      </c>
      <c r="G14" s="74">
        <f>G13*Выручка!G37/(365*G$6)</f>
        <v>0</v>
      </c>
      <c r="H14" s="74">
        <f>H13*Выручка!H37/(365*H$6)</f>
        <v>17.10316596926096</v>
      </c>
      <c r="I14" s="74">
        <f>I13*Выручка!I37/(365*I$6)</f>
        <v>23.028924556415024</v>
      </c>
      <c r="J14" s="74">
        <f>J13*Выручка!J37/(365*J$6)</f>
        <v>29.291095054380598</v>
      </c>
      <c r="K14" s="74">
        <f>K13*Выручка!K37/(365*K$6)</f>
        <v>35.904418710681085</v>
      </c>
      <c r="L14" s="74">
        <f>L13*Выручка!L37/(365*L$6)</f>
        <v>42.960318835092338</v>
      </c>
      <c r="M14" s="74">
        <f>M13*Выручка!M37/(365*M$6)</f>
        <v>50.424899877808727</v>
      </c>
      <c r="N14" s="74">
        <f>N13*Выручка!N37/(365*N$6)</f>
        <v>58.316900764768974</v>
      </c>
      <c r="O14" s="74">
        <f>O13*Выручка!O37/(365*O$6)</f>
        <v>66.655835248005246</v>
      </c>
      <c r="P14" s="74">
        <f>P13*Выручка!P37/(365*P$6)</f>
        <v>75.760231309428747</v>
      </c>
      <c r="Q14" s="74">
        <f>Q13*Выручка!Q37/(365*Q$6)</f>
        <v>85.427818900031767</v>
      </c>
      <c r="R14" s="74">
        <f>R13*Выручка!R37/(365*R$6)</f>
        <v>95.68713864749796</v>
      </c>
      <c r="S14" s="74">
        <f>S13*Выручка!S37/(365*S$6)</f>
        <v>106.56804879284743</v>
      </c>
      <c r="T14" s="74">
        <f>T13*Выручка!T37/(365*T$6)</f>
        <v>116.07319101429054</v>
      </c>
      <c r="U14" s="74">
        <f>U13*Выручка!U37/(365*U$6)</f>
        <v>125.88250486001985</v>
      </c>
      <c r="V14" s="74">
        <f>V13*Выручка!V37/(365*V$6)</f>
        <v>128.11952108347541</v>
      </c>
      <c r="W14" s="74">
        <f>W13*Выручка!W37/(365*W$6)</f>
        <v>130.39629057994986</v>
      </c>
      <c r="X14" s="74">
        <f>X13*Выручка!X37/(365*X$6)</f>
        <v>132.49654028795553</v>
      </c>
      <c r="Y14" s="74">
        <f>Y13*Выручка!Y37/(365*Y$6)</f>
        <v>134.63061801987479</v>
      </c>
      <c r="Z14" s="74">
        <f>Z13*Выручка!Z37/(365*Z$6)</f>
        <v>136.79906863244415</v>
      </c>
      <c r="AA14" s="74">
        <f>AA13*Выручка!AA37/(365*AA$6)</f>
        <v>139.00244575822657</v>
      </c>
      <c r="AC14" s="74">
        <f>SUMIF($D$4:$AA$4,AC$5,$D14:$AA14)</f>
        <v>0.95291637861857859</v>
      </c>
      <c r="AD14" s="74">
        <f t="shared" ref="AD14:AH14" si="11">SUMIF($D$4:$AA$4,AD$5,$D14:$AA14)</f>
        <v>105.32760429073767</v>
      </c>
      <c r="AE14" s="74">
        <f t="shared" si="11"/>
        <v>218.35795472567528</v>
      </c>
      <c r="AF14" s="74">
        <f t="shared" si="11"/>
        <v>363.44323764980595</v>
      </c>
      <c r="AG14" s="74">
        <f t="shared" si="11"/>
        <v>500.47150753773565</v>
      </c>
      <c r="AH14" s="74">
        <f t="shared" si="11"/>
        <v>542.92867269850103</v>
      </c>
    </row>
    <row r="16" spans="1:34" s="59" customFormat="1">
      <c r="A16" s="71" t="s">
        <v>110</v>
      </c>
      <c r="B16" s="7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C16" s="21"/>
      <c r="AD16" s="21"/>
      <c r="AE16" s="21"/>
      <c r="AF16" s="21"/>
      <c r="AG16" s="21"/>
      <c r="AH16" s="21"/>
    </row>
    <row r="17" spans="1:34">
      <c r="A17" s="39" t="s">
        <v>212</v>
      </c>
      <c r="B17" s="12" t="s">
        <v>107</v>
      </c>
      <c r="C17" s="40">
        <f>Предположения!C86</f>
        <v>60</v>
      </c>
      <c r="D17" s="40">
        <f t="shared" ref="D17:O17" si="12">C17</f>
        <v>60</v>
      </c>
      <c r="E17" s="40">
        <f t="shared" si="12"/>
        <v>60</v>
      </c>
      <c r="F17" s="40">
        <f t="shared" si="12"/>
        <v>60</v>
      </c>
      <c r="G17" s="40">
        <f t="shared" si="12"/>
        <v>60</v>
      </c>
      <c r="H17" s="40">
        <f t="shared" si="12"/>
        <v>60</v>
      </c>
      <c r="I17" s="40">
        <f t="shared" si="12"/>
        <v>60</v>
      </c>
      <c r="J17" s="40">
        <f t="shared" si="12"/>
        <v>60</v>
      </c>
      <c r="K17" s="40">
        <f t="shared" si="12"/>
        <v>60</v>
      </c>
      <c r="L17" s="40">
        <f t="shared" si="12"/>
        <v>60</v>
      </c>
      <c r="M17" s="40">
        <f t="shared" si="12"/>
        <v>60</v>
      </c>
      <c r="N17" s="40">
        <f t="shared" si="12"/>
        <v>60</v>
      </c>
      <c r="O17" s="40">
        <f t="shared" si="12"/>
        <v>60</v>
      </c>
      <c r="P17" s="40">
        <f t="shared" ref="P17:AA17" si="13">O17</f>
        <v>60</v>
      </c>
      <c r="Q17" s="40">
        <f t="shared" si="13"/>
        <v>60</v>
      </c>
      <c r="R17" s="40">
        <f t="shared" si="13"/>
        <v>60</v>
      </c>
      <c r="S17" s="40">
        <f t="shared" si="13"/>
        <v>60</v>
      </c>
      <c r="T17" s="40">
        <f t="shared" si="13"/>
        <v>60</v>
      </c>
      <c r="U17" s="40">
        <f t="shared" si="13"/>
        <v>60</v>
      </c>
      <c r="V17" s="40">
        <f t="shared" si="13"/>
        <v>60</v>
      </c>
      <c r="W17" s="40">
        <f t="shared" si="13"/>
        <v>60</v>
      </c>
      <c r="X17" s="40">
        <f t="shared" si="13"/>
        <v>60</v>
      </c>
      <c r="Y17" s="40">
        <f t="shared" si="13"/>
        <v>60</v>
      </c>
      <c r="Z17" s="40">
        <f t="shared" si="13"/>
        <v>60</v>
      </c>
      <c r="AA17" s="40">
        <f t="shared" si="13"/>
        <v>60</v>
      </c>
      <c r="AC17" s="40">
        <f>AVERAGEIF($D$4:$AA$4,AC$5,$D17:$AA17)</f>
        <v>60</v>
      </c>
      <c r="AD17" s="40">
        <f t="shared" ref="AD17:AH17" si="14">AVERAGEIF($D$4:$AA$4,AD$5,$D17:$AA17)</f>
        <v>60</v>
      </c>
      <c r="AE17" s="40">
        <f t="shared" si="14"/>
        <v>60</v>
      </c>
      <c r="AF17" s="40">
        <f t="shared" si="14"/>
        <v>60</v>
      </c>
      <c r="AG17" s="40">
        <f t="shared" si="14"/>
        <v>60</v>
      </c>
      <c r="AH17" s="40">
        <f t="shared" si="14"/>
        <v>60</v>
      </c>
    </row>
    <row r="18" spans="1:34">
      <c r="A18" s="73" t="s">
        <v>214</v>
      </c>
      <c r="B18" s="73" t="s">
        <v>96</v>
      </c>
      <c r="C18" s="74"/>
      <c r="D18" s="74">
        <f>D17*Затраты!D66/(365*D$6)</f>
        <v>0</v>
      </c>
      <c r="E18" s="74">
        <f>E17*Затраты!E66/(365*E$6)</f>
        <v>758.05859670635243</v>
      </c>
      <c r="F18" s="74">
        <f>F17*Затраты!F66/(365*F$6)</f>
        <v>784.90133873104401</v>
      </c>
      <c r="G18" s="74">
        <f>G17*Затраты!G66/(365*G$6)</f>
        <v>771.33714533829186</v>
      </c>
      <c r="H18" s="74">
        <f>H17*Затраты!H66/(365*H$6)</f>
        <v>1005.0843787490961</v>
      </c>
      <c r="I18" s="74">
        <f>I17*Затраты!I66/(365*I$6)</f>
        <v>1090.6395692525089</v>
      </c>
      <c r="J18" s="74">
        <f>J17*Затраты!J66/(365*J$6)</f>
        <v>1181.0457418226033</v>
      </c>
      <c r="K18" s="74">
        <f>K17*Затраты!K66/(365*K$6)</f>
        <v>1289.2715320269244</v>
      </c>
      <c r="L18" s="74">
        <f>L17*Затраты!L66/(365*L$6)</f>
        <v>1378.3802304894105</v>
      </c>
      <c r="M18" s="74">
        <f>M17*Затраты!M66/(365*M$6)</f>
        <v>1486.1382807350669</v>
      </c>
      <c r="N18" s="74">
        <f>N17*Затраты!N66/(365*N$6)</f>
        <v>1600.0596165042016</v>
      </c>
      <c r="O18" s="74">
        <f>O17*Затраты!O66/(365*O$6)</f>
        <v>1733.1816659094236</v>
      </c>
      <c r="P18" s="74">
        <f>P17*Затраты!P66/(365*P$6)</f>
        <v>1851.8611060415226</v>
      </c>
      <c r="Q18" s="74">
        <f>Q17*Затраты!Q66/(365*Q$6)</f>
        <v>1991.4184845699151</v>
      </c>
      <c r="R18" s="74">
        <f>R17*Затраты!R66/(365*R$6)</f>
        <v>2139.5090423036486</v>
      </c>
      <c r="S18" s="74">
        <f>S17*Затраты!S66/(365*S$6)</f>
        <v>2309.3193373908048</v>
      </c>
      <c r="T18" s="74">
        <f>T17*Затраты!T66/(365*T$6)</f>
        <v>2433.6282042507578</v>
      </c>
      <c r="U18" s="74">
        <f>U17*Затраты!U66/(365*U$6)</f>
        <v>2575.07670078404</v>
      </c>
      <c r="V18" s="74">
        <f>V17*Затраты!V66/(365*V$6)</f>
        <v>2607.4875657685006</v>
      </c>
      <c r="W18" s="74">
        <f>W17*Затраты!W66/(365*W$6)</f>
        <v>2653.2305578635678</v>
      </c>
      <c r="X18" s="74">
        <f>X17*Затраты!X66/(365*X$6)</f>
        <v>2670.9037256440229</v>
      </c>
      <c r="Y18" s="74">
        <f>Y17*Затраты!Y66/(365*Y$6)</f>
        <v>2701.8231729463464</v>
      </c>
      <c r="Z18" s="74">
        <f>Z17*Затраты!Z66/(365*Z$6)</f>
        <v>2733.2406295085925</v>
      </c>
      <c r="AA18" s="74">
        <f>AA17*Затраты!AA66/(365*AA$6)</f>
        <v>2777.920280983933</v>
      </c>
      <c r="AC18" s="74">
        <f>SUMIF($D$4:$AA$4,AC$5,$D18:$AA18)</f>
        <v>2314.2970807756883</v>
      </c>
      <c r="AD18" s="74">
        <f t="shared" ref="AD18:AH22" si="15">SUMIF($D$4:$AA$4,AD$5,$D18:$AA18)</f>
        <v>4566.0412218511328</v>
      </c>
      <c r="AE18" s="74">
        <f t="shared" si="15"/>
        <v>6197.7597936381026</v>
      </c>
      <c r="AF18" s="74">
        <f t="shared" si="15"/>
        <v>8292.1079703058913</v>
      </c>
      <c r="AG18" s="74">
        <f t="shared" si="15"/>
        <v>10269.423028666866</v>
      </c>
      <c r="AH18" s="74">
        <f t="shared" si="15"/>
        <v>10883.887809082895</v>
      </c>
    </row>
    <row r="20" spans="1:34">
      <c r="A20" s="71" t="s">
        <v>215</v>
      </c>
      <c r="B20" s="7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C20" s="21"/>
      <c r="AD20" s="21"/>
      <c r="AE20" s="21"/>
      <c r="AF20" s="21"/>
      <c r="AG20" s="21"/>
      <c r="AH20" s="21"/>
    </row>
    <row r="21" spans="1:34">
      <c r="A21" s="39" t="s">
        <v>216</v>
      </c>
      <c r="C21" s="40"/>
      <c r="D21" s="40">
        <f>Предположения!D$14*Выручка!D37</f>
        <v>0</v>
      </c>
      <c r="E21" s="40">
        <f>Предположения!E$14*Выручка!E37</f>
        <v>0</v>
      </c>
      <c r="F21" s="40">
        <f>Предположения!F$14*Выручка!F37</f>
        <v>13.043042932341795</v>
      </c>
      <c r="G21" s="40">
        <f>Предположения!G$14*Выручка!G37</f>
        <v>0</v>
      </c>
      <c r="H21" s="40">
        <f>Предположения!H$14*Выручка!H37</f>
        <v>234.0995842042594</v>
      </c>
      <c r="I21" s="40">
        <f>Предположения!I$14*Выручка!I37</f>
        <v>315.20840486593062</v>
      </c>
      <c r="J21" s="40">
        <f>Предположения!J$14*Выручка!J37</f>
        <v>400.92186355683447</v>
      </c>
      <c r="K21" s="40">
        <f>Предположения!K$14*Выручка!K37</f>
        <v>491.44173110244736</v>
      </c>
      <c r="L21" s="40">
        <f>Предположения!L$14*Выручка!L37</f>
        <v>588.01936405532638</v>
      </c>
      <c r="M21" s="40">
        <f>Предположения!M$14*Выручка!M37</f>
        <v>690.19081707750695</v>
      </c>
      <c r="N21" s="40">
        <f>Предположения!N$14*Выручка!N37</f>
        <v>798.21257921777533</v>
      </c>
      <c r="O21" s="40">
        <f>Предположения!O$14*Выручка!O37</f>
        <v>912.35174495707179</v>
      </c>
      <c r="P21" s="40">
        <f>Предположения!P$14*Выручка!P37</f>
        <v>1036.9681660478059</v>
      </c>
      <c r="Q21" s="40">
        <f>Предположения!Q$14*Выручка!Q37</f>
        <v>1169.2932711941849</v>
      </c>
      <c r="R21" s="40">
        <f>Предположения!R$14*Выручка!R37</f>
        <v>1309.7177102376284</v>
      </c>
      <c r="S21" s="40">
        <f>Предположения!S$14*Выручка!S37</f>
        <v>1458.6501678520992</v>
      </c>
      <c r="T21" s="40">
        <f>Предположения!T$14*Выручка!T37</f>
        <v>1588.7518020081018</v>
      </c>
      <c r="U21" s="40">
        <f>Предположения!U$14*Выручка!U37</f>
        <v>1723.0167852715217</v>
      </c>
      <c r="V21" s="40">
        <f>Предположения!V$14*Выручка!V37</f>
        <v>1753.6359448300695</v>
      </c>
      <c r="W21" s="40">
        <f>Предположения!W$14*Выручка!W37</f>
        <v>1784.7992273130637</v>
      </c>
      <c r="X21" s="40">
        <f>Предположения!X$14*Выручка!X37</f>
        <v>1813.5463951913912</v>
      </c>
      <c r="Y21" s="40">
        <f>Предположения!Y$14*Выручка!Y37</f>
        <v>1842.7565841470359</v>
      </c>
      <c r="Z21" s="40">
        <f>Предположения!Z$14*Выручка!Z37</f>
        <v>1872.4372519065791</v>
      </c>
      <c r="AA21" s="40">
        <f>Предположения!AA$14*Выручка!AA37</f>
        <v>1902.5959763157261</v>
      </c>
      <c r="AC21" s="40">
        <f t="shared" ref="AC21:AH26" si="16">SUMIF($D$4:$AA$4,AC$5,$D21:$AA21)</f>
        <v>13.043042932341795</v>
      </c>
      <c r="AD21" s="40">
        <f t="shared" si="15"/>
        <v>1441.6715837294719</v>
      </c>
      <c r="AE21" s="40">
        <f t="shared" si="15"/>
        <v>2988.7745053076806</v>
      </c>
      <c r="AF21" s="40">
        <f t="shared" si="15"/>
        <v>4974.6293153317183</v>
      </c>
      <c r="AG21" s="40">
        <f t="shared" si="15"/>
        <v>6850.2037594227568</v>
      </c>
      <c r="AH21" s="40">
        <f t="shared" si="15"/>
        <v>7431.3362075607329</v>
      </c>
    </row>
    <row r="22" spans="1:34">
      <c r="A22" s="39" t="s">
        <v>217</v>
      </c>
      <c r="C22" s="40"/>
      <c r="D22" s="40">
        <f>Предположения!D$14*Затраты!D68</f>
        <v>0</v>
      </c>
      <c r="E22" s="40">
        <f>Предположения!E$14*Затраты!E68</f>
        <v>3.1127347472732936</v>
      </c>
      <c r="F22" s="40">
        <f>Предположения!F$14*Затраты!F68</f>
        <v>15.359735796038784</v>
      </c>
      <c r="G22" s="40">
        <f>Предположения!G$14*Затраты!G68</f>
        <v>9.1710725605956434</v>
      </c>
      <c r="H22" s="40">
        <f>Предположения!H$14*Затраты!H68</f>
        <v>115.81824780427509</v>
      </c>
      <c r="I22" s="40">
        <f>Предположения!I$14*Затраты!I68</f>
        <v>154.85280347145712</v>
      </c>
      <c r="J22" s="40">
        <f>Предположения!J$14*Затраты!J68</f>
        <v>196.10061970656275</v>
      </c>
      <c r="K22" s="40">
        <f>Предположения!K$14*Затраты!K68</f>
        <v>245.47863648728423</v>
      </c>
      <c r="L22" s="40">
        <f>Предположения!L$14*Затраты!L68</f>
        <v>286.13448016079343</v>
      </c>
      <c r="M22" s="40">
        <f>Предположения!M$14*Затраты!M68</f>
        <v>335.29909058537424</v>
      </c>
      <c r="N22" s="40">
        <f>Предположения!N$14*Затраты!N68</f>
        <v>387.27570003004195</v>
      </c>
      <c r="O22" s="40">
        <f>Предположения!O$14*Затраты!O68</f>
        <v>448.01263507117454</v>
      </c>
      <c r="P22" s="40">
        <f>Предположения!P$14*Затраты!P68</f>
        <v>502.16012963144465</v>
      </c>
      <c r="Q22" s="40">
        <f>Предположения!Q$14*Затраты!Q68</f>
        <v>565.83318358502368</v>
      </c>
      <c r="R22" s="40">
        <f>Предположения!R$14*Затраты!R68</f>
        <v>633.39950055103952</v>
      </c>
      <c r="S22" s="40">
        <f>Предположения!S$14*Затраты!S68</f>
        <v>710.87544768455462</v>
      </c>
      <c r="T22" s="40">
        <f>Предположения!T$14*Затраты!T68</f>
        <v>767.59136818940817</v>
      </c>
      <c r="U22" s="40">
        <f>Предположения!U$14*Затраты!U68</f>
        <v>832.1272447327184</v>
      </c>
      <c r="V22" s="40">
        <f>Предположения!V$14*Затраты!V68</f>
        <v>846.91470188187827</v>
      </c>
      <c r="W22" s="40">
        <f>Предположения!W$14*Затраты!W68</f>
        <v>867.78494202525269</v>
      </c>
      <c r="X22" s="40">
        <f>Предположения!X$14*Затраты!X68</f>
        <v>875.84832482508534</v>
      </c>
      <c r="Y22" s="40">
        <f>Предположения!Y$14*Затраты!Y68</f>
        <v>889.95532265677048</v>
      </c>
      <c r="Z22" s="40">
        <f>Предположения!Z$14*Затраты!Z68</f>
        <v>904.28953721329538</v>
      </c>
      <c r="AA22" s="40">
        <f>Предположения!AA$14*Затраты!AA68</f>
        <v>924.67462819891944</v>
      </c>
      <c r="AC22" s="40">
        <f t="shared" si="16"/>
        <v>27.643543103907721</v>
      </c>
      <c r="AD22" s="40">
        <f t="shared" si="15"/>
        <v>712.25030746957918</v>
      </c>
      <c r="AE22" s="40">
        <f t="shared" si="15"/>
        <v>1456.7219058473843</v>
      </c>
      <c r="AF22" s="40">
        <f t="shared" si="15"/>
        <v>2412.2682614520627</v>
      </c>
      <c r="AG22" s="40">
        <f t="shared" si="15"/>
        <v>3314.4182568292576</v>
      </c>
      <c r="AH22" s="40">
        <f t="shared" si="15"/>
        <v>3594.7678128940706</v>
      </c>
    </row>
    <row r="23" spans="1:34">
      <c r="A23" s="42" t="s">
        <v>218</v>
      </c>
      <c r="C23" s="40"/>
      <c r="D23" s="40">
        <f>D21-D22</f>
        <v>0</v>
      </c>
      <c r="E23" s="40">
        <f t="shared" ref="E23:O23" si="17">E21-E22</f>
        <v>-3.1127347472732936</v>
      </c>
      <c r="F23" s="40">
        <f t="shared" si="17"/>
        <v>-2.3166928636969892</v>
      </c>
      <c r="G23" s="40">
        <f t="shared" si="17"/>
        <v>-9.1710725605956434</v>
      </c>
      <c r="H23" s="40">
        <f t="shared" si="17"/>
        <v>118.28133639998431</v>
      </c>
      <c r="I23" s="40">
        <f t="shared" si="17"/>
        <v>160.3556013944735</v>
      </c>
      <c r="J23" s="40">
        <f t="shared" si="17"/>
        <v>204.82124385027171</v>
      </c>
      <c r="K23" s="40">
        <f t="shared" si="17"/>
        <v>245.96309461516313</v>
      </c>
      <c r="L23" s="40">
        <f t="shared" si="17"/>
        <v>301.88488389453295</v>
      </c>
      <c r="M23" s="40">
        <f t="shared" si="17"/>
        <v>354.8917264921327</v>
      </c>
      <c r="N23" s="40">
        <f t="shared" si="17"/>
        <v>410.93687918773338</v>
      </c>
      <c r="O23" s="40">
        <f t="shared" si="17"/>
        <v>464.33910988589724</v>
      </c>
      <c r="P23" s="40">
        <f t="shared" ref="P23:W23" si="18">P21-P22</f>
        <v>534.80803641636123</v>
      </c>
      <c r="Q23" s="40">
        <f t="shared" si="18"/>
        <v>603.46008760916118</v>
      </c>
      <c r="R23" s="40">
        <f t="shared" si="18"/>
        <v>676.31820968658883</v>
      </c>
      <c r="S23" s="40">
        <f t="shared" si="18"/>
        <v>747.77472016754461</v>
      </c>
      <c r="T23" s="40">
        <f t="shared" si="18"/>
        <v>821.1604338186936</v>
      </c>
      <c r="U23" s="40">
        <f t="shared" si="18"/>
        <v>890.88954053880332</v>
      </c>
      <c r="V23" s="40">
        <f t="shared" si="18"/>
        <v>906.72124294819127</v>
      </c>
      <c r="W23" s="40">
        <f t="shared" si="18"/>
        <v>917.01428528781105</v>
      </c>
      <c r="X23" s="40">
        <f t="shared" ref="X23:AA23" si="19">X21-X22</f>
        <v>937.69807036630584</v>
      </c>
      <c r="Y23" s="40">
        <f t="shared" si="19"/>
        <v>952.80126149026546</v>
      </c>
      <c r="Z23" s="40">
        <f t="shared" si="19"/>
        <v>968.14771469328377</v>
      </c>
      <c r="AA23" s="40">
        <f t="shared" si="19"/>
        <v>977.92134811680671</v>
      </c>
      <c r="AC23" s="40"/>
      <c r="AD23" s="40"/>
      <c r="AE23" s="40"/>
      <c r="AF23" s="40"/>
      <c r="AG23" s="40"/>
      <c r="AH23" s="40"/>
    </row>
    <row r="24" spans="1:34">
      <c r="A24" s="42" t="s">
        <v>219</v>
      </c>
      <c r="C24" s="40"/>
      <c r="D24" s="40">
        <f t="shared" ref="D24:AA24" si="20">IF(C24&lt;0,D23+C24,D23)</f>
        <v>0</v>
      </c>
      <c r="E24" s="40">
        <f t="shared" si="20"/>
        <v>-3.1127347472732936</v>
      </c>
      <c r="F24" s="40">
        <f t="shared" si="20"/>
        <v>-5.4294276109702828</v>
      </c>
      <c r="G24" s="40">
        <f t="shared" si="20"/>
        <v>-14.600500171565926</v>
      </c>
      <c r="H24" s="40">
        <f t="shared" si="20"/>
        <v>103.68083622841839</v>
      </c>
      <c r="I24" s="40">
        <f t="shared" si="20"/>
        <v>160.3556013944735</v>
      </c>
      <c r="J24" s="40">
        <f t="shared" si="20"/>
        <v>204.82124385027171</v>
      </c>
      <c r="K24" s="40">
        <f t="shared" si="20"/>
        <v>245.96309461516313</v>
      </c>
      <c r="L24" s="40">
        <f t="shared" si="20"/>
        <v>301.88488389453295</v>
      </c>
      <c r="M24" s="40">
        <f t="shared" si="20"/>
        <v>354.8917264921327</v>
      </c>
      <c r="N24" s="40">
        <f t="shared" si="20"/>
        <v>410.93687918773338</v>
      </c>
      <c r="O24" s="40">
        <f t="shared" si="20"/>
        <v>464.33910988589724</v>
      </c>
      <c r="P24" s="40">
        <f t="shared" si="20"/>
        <v>534.80803641636123</v>
      </c>
      <c r="Q24" s="40">
        <f t="shared" si="20"/>
        <v>603.46008760916118</v>
      </c>
      <c r="R24" s="40">
        <f t="shared" si="20"/>
        <v>676.31820968658883</v>
      </c>
      <c r="S24" s="40">
        <f t="shared" si="20"/>
        <v>747.77472016754461</v>
      </c>
      <c r="T24" s="40">
        <f t="shared" si="20"/>
        <v>821.1604338186936</v>
      </c>
      <c r="U24" s="40">
        <f t="shared" si="20"/>
        <v>890.88954053880332</v>
      </c>
      <c r="V24" s="40">
        <f t="shared" si="20"/>
        <v>906.72124294819127</v>
      </c>
      <c r="W24" s="40">
        <f t="shared" si="20"/>
        <v>917.01428528781105</v>
      </c>
      <c r="X24" s="40">
        <f t="shared" si="20"/>
        <v>937.69807036630584</v>
      </c>
      <c r="Y24" s="40">
        <f t="shared" si="20"/>
        <v>952.80126149026546</v>
      </c>
      <c r="Z24" s="40">
        <f t="shared" si="20"/>
        <v>968.14771469328377</v>
      </c>
      <c r="AA24" s="40">
        <f t="shared" si="20"/>
        <v>977.92134811680671</v>
      </c>
      <c r="AC24" s="40"/>
      <c r="AD24" s="40"/>
      <c r="AE24" s="40"/>
      <c r="AF24" s="40"/>
      <c r="AG24" s="40"/>
      <c r="AH24" s="40"/>
    </row>
    <row r="25" spans="1:34">
      <c r="A25" s="42" t="s">
        <v>220</v>
      </c>
      <c r="C25" s="40"/>
      <c r="D25" s="40">
        <f>IF(D24&lt;0,0,MIN(D23,D24))</f>
        <v>0</v>
      </c>
      <c r="E25" s="40">
        <f t="shared" ref="E25:O25" si="21">IF(E24&lt;0,0,MIN(E23,E24))</f>
        <v>0</v>
      </c>
      <c r="F25" s="40">
        <f t="shared" si="21"/>
        <v>0</v>
      </c>
      <c r="G25" s="40">
        <f t="shared" si="21"/>
        <v>0</v>
      </c>
      <c r="H25" s="40">
        <f t="shared" si="21"/>
        <v>103.68083622841839</v>
      </c>
      <c r="I25" s="40">
        <f t="shared" si="21"/>
        <v>160.3556013944735</v>
      </c>
      <c r="J25" s="40">
        <f t="shared" si="21"/>
        <v>204.82124385027171</v>
      </c>
      <c r="K25" s="40">
        <f t="shared" si="21"/>
        <v>245.96309461516313</v>
      </c>
      <c r="L25" s="40">
        <f t="shared" si="21"/>
        <v>301.88488389453295</v>
      </c>
      <c r="M25" s="40">
        <f t="shared" si="21"/>
        <v>354.8917264921327</v>
      </c>
      <c r="N25" s="40">
        <f t="shared" si="21"/>
        <v>410.93687918773338</v>
      </c>
      <c r="O25" s="40">
        <f t="shared" si="21"/>
        <v>464.33910988589724</v>
      </c>
      <c r="P25" s="40">
        <f t="shared" ref="P25:W25" si="22">IF(P24&lt;0,0,MIN(P23,P24))</f>
        <v>534.80803641636123</v>
      </c>
      <c r="Q25" s="40">
        <f t="shared" si="22"/>
        <v>603.46008760916118</v>
      </c>
      <c r="R25" s="40">
        <f t="shared" si="22"/>
        <v>676.31820968658883</v>
      </c>
      <c r="S25" s="40">
        <f t="shared" si="22"/>
        <v>747.77472016754461</v>
      </c>
      <c r="T25" s="40">
        <f t="shared" si="22"/>
        <v>821.1604338186936</v>
      </c>
      <c r="U25" s="40">
        <f t="shared" si="22"/>
        <v>890.88954053880332</v>
      </c>
      <c r="V25" s="40">
        <f t="shared" si="22"/>
        <v>906.72124294819127</v>
      </c>
      <c r="W25" s="40">
        <f t="shared" si="22"/>
        <v>917.01428528781105</v>
      </c>
      <c r="X25" s="40">
        <f t="shared" ref="X25:AA25" si="23">IF(X24&lt;0,0,MIN(X23,X24))</f>
        <v>937.69807036630584</v>
      </c>
      <c r="Y25" s="40">
        <f t="shared" si="23"/>
        <v>952.80126149026546</v>
      </c>
      <c r="Z25" s="40">
        <f t="shared" si="23"/>
        <v>968.14771469328377</v>
      </c>
      <c r="AA25" s="40">
        <f t="shared" si="23"/>
        <v>977.92134811680671</v>
      </c>
      <c r="AC25" s="40"/>
      <c r="AD25" s="40"/>
      <c r="AE25" s="40"/>
      <c r="AF25" s="40"/>
      <c r="AG25" s="40"/>
      <c r="AH25" s="40"/>
    </row>
    <row r="26" spans="1:34">
      <c r="A26" s="39" t="s">
        <v>221</v>
      </c>
      <c r="C26" s="40"/>
      <c r="D26" s="40">
        <f t="shared" ref="D26:O26" si="24">D21-D22-D25</f>
        <v>0</v>
      </c>
      <c r="E26" s="40">
        <f t="shared" si="24"/>
        <v>-3.1127347472732936</v>
      </c>
      <c r="F26" s="40">
        <f t="shared" si="24"/>
        <v>-2.3166928636969892</v>
      </c>
      <c r="G26" s="40">
        <f t="shared" si="24"/>
        <v>-9.1710725605956434</v>
      </c>
      <c r="H26" s="40">
        <f t="shared" si="24"/>
        <v>14.600500171565926</v>
      </c>
      <c r="I26" s="40">
        <f>I21-I22-I25</f>
        <v>0</v>
      </c>
      <c r="J26" s="40">
        <f t="shared" si="24"/>
        <v>0</v>
      </c>
      <c r="K26" s="40">
        <f t="shared" si="24"/>
        <v>0</v>
      </c>
      <c r="L26" s="40">
        <f t="shared" si="24"/>
        <v>0</v>
      </c>
      <c r="M26" s="40">
        <f t="shared" si="24"/>
        <v>0</v>
      </c>
      <c r="N26" s="40">
        <f t="shared" si="24"/>
        <v>0</v>
      </c>
      <c r="O26" s="40">
        <f t="shared" si="24"/>
        <v>0</v>
      </c>
      <c r="P26" s="40">
        <f t="shared" ref="P26:W26" si="25">P21-P22-P25</f>
        <v>0</v>
      </c>
      <c r="Q26" s="40">
        <f t="shared" si="25"/>
        <v>0</v>
      </c>
      <c r="R26" s="40">
        <f t="shared" si="25"/>
        <v>0</v>
      </c>
      <c r="S26" s="40">
        <f t="shared" si="25"/>
        <v>0</v>
      </c>
      <c r="T26" s="40">
        <f t="shared" si="25"/>
        <v>0</v>
      </c>
      <c r="U26" s="40">
        <f t="shared" si="25"/>
        <v>0</v>
      </c>
      <c r="V26" s="40">
        <f t="shared" si="25"/>
        <v>0</v>
      </c>
      <c r="W26" s="40">
        <f t="shared" si="25"/>
        <v>0</v>
      </c>
      <c r="X26" s="40">
        <f t="shared" ref="X26:AA26" si="26">X21-X22-X25</f>
        <v>0</v>
      </c>
      <c r="Y26" s="40">
        <f t="shared" si="26"/>
        <v>0</v>
      </c>
      <c r="Z26" s="40">
        <f t="shared" si="26"/>
        <v>0</v>
      </c>
      <c r="AA26" s="40">
        <f t="shared" si="26"/>
        <v>0</v>
      </c>
      <c r="AC26" s="40">
        <f t="shared" si="16"/>
        <v>-14.600500171565926</v>
      </c>
      <c r="AD26" s="40">
        <f t="shared" si="16"/>
        <v>14.600500171565926</v>
      </c>
      <c r="AE26" s="40">
        <f t="shared" si="16"/>
        <v>0</v>
      </c>
      <c r="AF26" s="40">
        <f t="shared" si="16"/>
        <v>0</v>
      </c>
      <c r="AG26" s="40">
        <f t="shared" si="16"/>
        <v>0</v>
      </c>
      <c r="AH26" s="40">
        <f t="shared" si="16"/>
        <v>0</v>
      </c>
    </row>
    <row r="27" spans="1:34">
      <c r="A27" s="73" t="s">
        <v>222</v>
      </c>
      <c r="B27" s="73" t="s">
        <v>96</v>
      </c>
      <c r="C27" s="74">
        <f>-C26</f>
        <v>0</v>
      </c>
      <c r="D27" s="74">
        <f>-D26+C27</f>
        <v>0</v>
      </c>
      <c r="E27" s="74">
        <f t="shared" ref="E27:O27" si="27">-E26+D27</f>
        <v>3.1127347472732936</v>
      </c>
      <c r="F27" s="74">
        <f t="shared" si="27"/>
        <v>5.4294276109702828</v>
      </c>
      <c r="G27" s="74">
        <f t="shared" si="27"/>
        <v>14.600500171565926</v>
      </c>
      <c r="H27" s="74">
        <f t="shared" si="27"/>
        <v>0</v>
      </c>
      <c r="I27" s="74">
        <f t="shared" si="27"/>
        <v>0</v>
      </c>
      <c r="J27" s="74">
        <f t="shared" si="27"/>
        <v>0</v>
      </c>
      <c r="K27" s="74">
        <f t="shared" si="27"/>
        <v>0</v>
      </c>
      <c r="L27" s="74">
        <f t="shared" si="27"/>
        <v>0</v>
      </c>
      <c r="M27" s="74">
        <f t="shared" si="27"/>
        <v>0</v>
      </c>
      <c r="N27" s="74">
        <f t="shared" si="27"/>
        <v>0</v>
      </c>
      <c r="O27" s="74">
        <f t="shared" si="27"/>
        <v>0</v>
      </c>
      <c r="P27" s="74">
        <f t="shared" ref="P27:AA27" si="28">-P26+O27</f>
        <v>0</v>
      </c>
      <c r="Q27" s="74">
        <f t="shared" si="28"/>
        <v>0</v>
      </c>
      <c r="R27" s="74">
        <f t="shared" si="28"/>
        <v>0</v>
      </c>
      <c r="S27" s="74">
        <f t="shared" si="28"/>
        <v>0</v>
      </c>
      <c r="T27" s="74">
        <f t="shared" si="28"/>
        <v>0</v>
      </c>
      <c r="U27" s="74">
        <f t="shared" si="28"/>
        <v>0</v>
      </c>
      <c r="V27" s="74">
        <f t="shared" si="28"/>
        <v>0</v>
      </c>
      <c r="W27" s="74">
        <f t="shared" si="28"/>
        <v>0</v>
      </c>
      <c r="X27" s="74">
        <f t="shared" si="28"/>
        <v>0</v>
      </c>
      <c r="Y27" s="74">
        <f t="shared" si="28"/>
        <v>0</v>
      </c>
      <c r="Z27" s="74">
        <f t="shared" si="28"/>
        <v>0</v>
      </c>
      <c r="AA27" s="74">
        <f t="shared" si="28"/>
        <v>0</v>
      </c>
      <c r="AC27" s="74">
        <f>SUMIF($D$3:$AA$3,AC$5,$D27:$AA27)</f>
        <v>14.600500171565926</v>
      </c>
      <c r="AD27" s="74">
        <f t="shared" ref="AD27:AH27" si="29">SUMIF($D$3:$AA$3,AD$5,$D27:$AA27)</f>
        <v>0</v>
      </c>
      <c r="AE27" s="74">
        <f t="shared" si="29"/>
        <v>0</v>
      </c>
      <c r="AF27" s="74">
        <f t="shared" si="29"/>
        <v>0</v>
      </c>
      <c r="AG27" s="74">
        <f t="shared" si="29"/>
        <v>0</v>
      </c>
      <c r="AH27" s="74">
        <f t="shared" si="29"/>
        <v>0</v>
      </c>
    </row>
    <row r="29" spans="1:34">
      <c r="A29" s="71" t="s">
        <v>223</v>
      </c>
      <c r="B29" s="7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C29" s="21"/>
      <c r="AD29" s="21"/>
      <c r="AE29" s="21"/>
      <c r="AF29" s="21"/>
      <c r="AG29" s="21"/>
      <c r="AH29" s="21"/>
    </row>
    <row r="30" spans="1:34">
      <c r="A30" s="39" t="s">
        <v>224</v>
      </c>
      <c r="C30" s="40">
        <f>Предположения!C14*Инвестиции!C32</f>
        <v>0</v>
      </c>
      <c r="D30" s="40">
        <f>Предположения!D14*Инвестиции!D32</f>
        <v>0</v>
      </c>
      <c r="E30" s="40">
        <f>Предположения!E14*Инвестиции!E32</f>
        <v>0</v>
      </c>
      <c r="F30" s="40">
        <f>Предположения!F14*Инвестиции!F32</f>
        <v>0</v>
      </c>
      <c r="G30" s="40">
        <f>Предположения!G14*Инвестиции!G32</f>
        <v>0</v>
      </c>
      <c r="H30" s="40">
        <f>Предположения!H14*Инвестиции!H32</f>
        <v>0</v>
      </c>
      <c r="I30" s="40">
        <f>Предположения!I14*Инвестиции!I32</f>
        <v>0</v>
      </c>
      <c r="J30" s="40">
        <f>Предположения!J14*Инвестиции!J32</f>
        <v>0</v>
      </c>
      <c r="K30" s="40">
        <f>Предположения!K14*Инвестиции!K32</f>
        <v>0</v>
      </c>
      <c r="L30" s="40">
        <f>Предположения!L14*Инвестиции!L32</f>
        <v>0</v>
      </c>
      <c r="M30" s="40">
        <f>Предположения!M14*Инвестиции!M32</f>
        <v>0</v>
      </c>
      <c r="N30" s="40">
        <f>Предположения!N14*Инвестиции!N32</f>
        <v>0</v>
      </c>
      <c r="O30" s="40">
        <f>Предположения!O14*Инвестиции!O32</f>
        <v>0</v>
      </c>
      <c r="P30" s="40">
        <f>Предположения!P14*Инвестиции!P32</f>
        <v>0</v>
      </c>
      <c r="Q30" s="40">
        <f>Предположения!Q14*Инвестиции!Q32</f>
        <v>0</v>
      </c>
      <c r="R30" s="40">
        <f>Предположения!R14*Инвестиции!R32</f>
        <v>0</v>
      </c>
      <c r="S30" s="40">
        <f>Предположения!S14*Инвестиции!S32</f>
        <v>0</v>
      </c>
      <c r="T30" s="40">
        <f>Предположения!T14*Инвестиции!T32</f>
        <v>0</v>
      </c>
      <c r="U30" s="40">
        <f>Предположения!U14*Инвестиции!U32</f>
        <v>0</v>
      </c>
      <c r="V30" s="40">
        <f>Предположения!V14*Инвестиции!V32</f>
        <v>0</v>
      </c>
      <c r="W30" s="40">
        <f>Предположения!W14*Инвестиции!W32</f>
        <v>0</v>
      </c>
      <c r="X30" s="40">
        <f>Предположения!X14*Инвестиции!X32</f>
        <v>0</v>
      </c>
      <c r="Y30" s="40">
        <f>Предположения!Y14*Инвестиции!Y32</f>
        <v>0</v>
      </c>
      <c r="Z30" s="40">
        <f>Предположения!Z14*Инвестиции!Z32</f>
        <v>0</v>
      </c>
      <c r="AA30" s="40">
        <f>Предположения!AA14*Инвестиции!AA32</f>
        <v>0</v>
      </c>
      <c r="AC30" s="40">
        <f t="shared" ref="AC30:AH31" si="30">SUMIF($D$4:$AA$4,AC$5,$D30:$AA30)</f>
        <v>0</v>
      </c>
      <c r="AD30" s="40">
        <f t="shared" si="30"/>
        <v>0</v>
      </c>
      <c r="AE30" s="40">
        <f t="shared" si="30"/>
        <v>0</v>
      </c>
      <c r="AF30" s="40">
        <f t="shared" si="30"/>
        <v>0</v>
      </c>
      <c r="AG30" s="40">
        <f t="shared" si="30"/>
        <v>0</v>
      </c>
      <c r="AH30" s="40">
        <f t="shared" si="30"/>
        <v>0</v>
      </c>
    </row>
    <row r="31" spans="1:34">
      <c r="A31" s="39" t="s">
        <v>225</v>
      </c>
      <c r="C31" s="40">
        <f t="shared" ref="C31:D31" si="31">B30</f>
        <v>0</v>
      </c>
      <c r="D31" s="40">
        <f t="shared" si="31"/>
        <v>0</v>
      </c>
      <c r="E31" s="40">
        <f>D30</f>
        <v>0</v>
      </c>
      <c r="F31" s="40">
        <f t="shared" ref="F31:O31" si="32">E30</f>
        <v>0</v>
      </c>
      <c r="G31" s="40">
        <f t="shared" si="32"/>
        <v>0</v>
      </c>
      <c r="H31" s="40">
        <f t="shared" si="32"/>
        <v>0</v>
      </c>
      <c r="I31" s="40">
        <f t="shared" si="32"/>
        <v>0</v>
      </c>
      <c r="J31" s="40">
        <f t="shared" si="32"/>
        <v>0</v>
      </c>
      <c r="K31" s="40">
        <f t="shared" si="32"/>
        <v>0</v>
      </c>
      <c r="L31" s="40">
        <f t="shared" si="32"/>
        <v>0</v>
      </c>
      <c r="M31" s="40">
        <f t="shared" si="32"/>
        <v>0</v>
      </c>
      <c r="N31" s="40">
        <f t="shared" si="32"/>
        <v>0</v>
      </c>
      <c r="O31" s="40">
        <f t="shared" si="32"/>
        <v>0</v>
      </c>
      <c r="P31" s="40">
        <f t="shared" ref="P31:AA31" si="33">O30</f>
        <v>0</v>
      </c>
      <c r="Q31" s="40">
        <f t="shared" si="33"/>
        <v>0</v>
      </c>
      <c r="R31" s="40">
        <f t="shared" si="33"/>
        <v>0</v>
      </c>
      <c r="S31" s="40">
        <f t="shared" si="33"/>
        <v>0</v>
      </c>
      <c r="T31" s="40">
        <f t="shared" si="33"/>
        <v>0</v>
      </c>
      <c r="U31" s="40">
        <f t="shared" si="33"/>
        <v>0</v>
      </c>
      <c r="V31" s="40">
        <f t="shared" si="33"/>
        <v>0</v>
      </c>
      <c r="W31" s="40">
        <f t="shared" si="33"/>
        <v>0</v>
      </c>
      <c r="X31" s="40">
        <f t="shared" si="33"/>
        <v>0</v>
      </c>
      <c r="Y31" s="40">
        <f t="shared" si="33"/>
        <v>0</v>
      </c>
      <c r="Z31" s="40">
        <f t="shared" si="33"/>
        <v>0</v>
      </c>
      <c r="AA31" s="40">
        <f t="shared" si="33"/>
        <v>0</v>
      </c>
      <c r="AC31" s="40">
        <f t="shared" si="30"/>
        <v>0</v>
      </c>
      <c r="AD31" s="40">
        <f t="shared" si="30"/>
        <v>0</v>
      </c>
      <c r="AE31" s="40">
        <f t="shared" si="30"/>
        <v>0</v>
      </c>
      <c r="AF31" s="40">
        <f t="shared" si="30"/>
        <v>0</v>
      </c>
      <c r="AG31" s="40">
        <f t="shared" si="30"/>
        <v>0</v>
      </c>
      <c r="AH31" s="40">
        <f t="shared" si="30"/>
        <v>0</v>
      </c>
    </row>
    <row r="32" spans="1:34">
      <c r="A32" s="73" t="s">
        <v>226</v>
      </c>
      <c r="B32" s="73" t="s">
        <v>96</v>
      </c>
      <c r="C32" s="74">
        <f>SUM($C$30:C30)-SUM($C$31:C31)</f>
        <v>0</v>
      </c>
      <c r="D32" s="74">
        <f>SUM($C$30:D30)-SUM($C$31:D31)</f>
        <v>0</v>
      </c>
      <c r="E32" s="74">
        <f>SUM($C$30:E30)-SUM($C$31:E31)</f>
        <v>0</v>
      </c>
      <c r="F32" s="74">
        <f>SUM($C$30:F30)-SUM($C$31:F31)</f>
        <v>0</v>
      </c>
      <c r="G32" s="74">
        <f>SUM($C$30:G30)-SUM($C$31:G31)</f>
        <v>0</v>
      </c>
      <c r="H32" s="74">
        <f>SUM($C$30:H30)-SUM($C$31:H31)</f>
        <v>0</v>
      </c>
      <c r="I32" s="74">
        <f>SUM($C$30:I30)-SUM($C$31:I31)</f>
        <v>0</v>
      </c>
      <c r="J32" s="74">
        <f>SUM($C$30:J30)-SUM($C$31:J31)</f>
        <v>0</v>
      </c>
      <c r="K32" s="74">
        <f>SUM($C$30:K30)-SUM($C$31:K31)</f>
        <v>0</v>
      </c>
      <c r="L32" s="74">
        <f>SUM($C$30:L30)-SUM($C$31:L31)</f>
        <v>0</v>
      </c>
      <c r="M32" s="74">
        <f>SUM($C$30:M30)-SUM($C$31:M31)</f>
        <v>0</v>
      </c>
      <c r="N32" s="74">
        <f>SUM($C$30:N30)-SUM($C$31:N31)</f>
        <v>0</v>
      </c>
      <c r="O32" s="74">
        <f>SUM($C$30:O30)-SUM($C$31:O31)</f>
        <v>0</v>
      </c>
      <c r="P32" s="74">
        <f>SUM($C$30:P30)-SUM($C$31:P31)</f>
        <v>0</v>
      </c>
      <c r="Q32" s="74">
        <f>SUM($C$30:Q30)-SUM($C$31:Q31)</f>
        <v>0</v>
      </c>
      <c r="R32" s="74">
        <f>SUM($C$30:R30)-SUM($C$31:R31)</f>
        <v>0</v>
      </c>
      <c r="S32" s="74">
        <f>SUM($C$30:S30)-SUM($C$31:S31)</f>
        <v>0</v>
      </c>
      <c r="T32" s="74">
        <f>SUM($C$30:T30)-SUM($C$31:T31)</f>
        <v>0</v>
      </c>
      <c r="U32" s="74">
        <f>SUM($C$30:U30)-SUM($C$31:U31)</f>
        <v>0</v>
      </c>
      <c r="V32" s="74">
        <f>SUM($C$30:V30)-SUM($C$31:V31)</f>
        <v>0</v>
      </c>
      <c r="W32" s="74">
        <f>SUM($C$30:W30)-SUM($C$31:W31)</f>
        <v>0</v>
      </c>
      <c r="X32" s="74">
        <f>SUM($C$30:X30)-SUM($C$31:X31)</f>
        <v>0</v>
      </c>
      <c r="Y32" s="74">
        <f>SUM($C$30:Y30)-SUM($C$31:Y31)</f>
        <v>0</v>
      </c>
      <c r="Z32" s="74">
        <f>SUM($C$30:Z30)-SUM($C$31:Z31)</f>
        <v>0</v>
      </c>
      <c r="AA32" s="74">
        <f>SUM($C$30:AA30)-SUM($C$31:AA31)</f>
        <v>0</v>
      </c>
      <c r="AC32" s="74">
        <f>SUMIF($D$3:$AA$3,AC$5,$D32:$AA32)</f>
        <v>0</v>
      </c>
      <c r="AD32" s="74">
        <f t="shared" ref="AD32:AH32" si="34">SUMIF($D$3:$AA$3,AD$5,$D32:$AA32)</f>
        <v>0</v>
      </c>
      <c r="AE32" s="74">
        <f t="shared" si="34"/>
        <v>0</v>
      </c>
      <c r="AF32" s="74">
        <f t="shared" si="34"/>
        <v>0</v>
      </c>
      <c r="AG32" s="74">
        <f t="shared" si="34"/>
        <v>0</v>
      </c>
      <c r="AH32" s="74">
        <f t="shared" si="34"/>
        <v>0</v>
      </c>
    </row>
    <row r="35" spans="1:34">
      <c r="A35" s="73" t="s">
        <v>227</v>
      </c>
      <c r="B35" s="73" t="s">
        <v>96</v>
      </c>
      <c r="C35" s="74">
        <f>C32+C27-C18+C14</f>
        <v>0</v>
      </c>
      <c r="D35" s="74">
        <f>D32+D27-D18+D14+D10</f>
        <v>0</v>
      </c>
      <c r="E35" s="74">
        <f t="shared" ref="E35:O35" si="35">E32+E27-E18+E14+E10</f>
        <v>-754.94586195907914</v>
      </c>
      <c r="F35" s="74">
        <f t="shared" si="35"/>
        <v>-772.38221326315147</v>
      </c>
      <c r="G35" s="74">
        <f t="shared" si="35"/>
        <v>-753.7602068105615</v>
      </c>
      <c r="H35" s="74">
        <f t="shared" si="35"/>
        <v>-931.71179674096652</v>
      </c>
      <c r="I35" s="74">
        <f t="shared" si="35"/>
        <v>-991.84548290548855</v>
      </c>
      <c r="J35" s="74">
        <f t="shared" si="35"/>
        <v>-1055.3869440393105</v>
      </c>
      <c r="K35" s="74">
        <f t="shared" si="35"/>
        <v>-1132.2651374019383</v>
      </c>
      <c r="L35" s="74">
        <f t="shared" si="35"/>
        <v>-1194.0804626868644</v>
      </c>
      <c r="M35" s="74">
        <f t="shared" si="35"/>
        <v>-1269.8154602592674</v>
      </c>
      <c r="N35" s="74">
        <f t="shared" si="35"/>
        <v>-1349.8801122233426</v>
      </c>
      <c r="O35" s="74">
        <f t="shared" si="35"/>
        <v>-1444.2516943393166</v>
      </c>
      <c r="P35" s="74">
        <f t="shared" ref="P35:W35" si="36">P32+P27-P18+P14+P10</f>
        <v>-1526.8497137240734</v>
      </c>
      <c r="Q35" s="74">
        <f t="shared" si="36"/>
        <v>-1624.9331414887788</v>
      </c>
      <c r="R35" s="74">
        <f t="shared" si="36"/>
        <v>-1729.0112175058823</v>
      </c>
      <c r="S35" s="74">
        <f t="shared" si="36"/>
        <v>-1849.1659697133246</v>
      </c>
      <c r="T35" s="74">
        <f t="shared" si="36"/>
        <v>-1935.6742147994514</v>
      </c>
      <c r="U35" s="74">
        <f t="shared" si="36"/>
        <v>-2035.0407549345548</v>
      </c>
      <c r="V35" s="74">
        <f t="shared" si="36"/>
        <v>-2057.8548203203909</v>
      </c>
      <c r="W35" s="74">
        <f t="shared" si="36"/>
        <v>-2090.8540329194184</v>
      </c>
      <c r="X35" s="74">
        <f t="shared" ref="X35:AH35" si="37">X32+X27-X18+X14+X10</f>
        <v>-2102.4935678086931</v>
      </c>
      <c r="Y35" s="74">
        <f t="shared" si="37"/>
        <v>-2124.2578216410834</v>
      </c>
      <c r="Z35" s="74">
        <f t="shared" si="37"/>
        <v>-2146.3726250754071</v>
      </c>
      <c r="AA35" s="74">
        <f t="shared" si="37"/>
        <v>-2178.6233503249764</v>
      </c>
      <c r="AC35" s="74">
        <f t="shared" si="37"/>
        <v>-2289.6304443910358</v>
      </c>
      <c r="AD35" s="74">
        <f t="shared" si="37"/>
        <v>-4111.2093610877046</v>
      </c>
      <c r="AE35" s="74">
        <f t="shared" si="37"/>
        <v>-5258.0277295087917</v>
      </c>
      <c r="AF35" s="74">
        <f t="shared" si="37"/>
        <v>-6729.9600424320588</v>
      </c>
      <c r="AG35" s="74">
        <f t="shared" si="37"/>
        <v>-8119.4238229738157</v>
      </c>
      <c r="AH35" s="74">
        <f t="shared" si="37"/>
        <v>-8551.74736485016</v>
      </c>
    </row>
    <row r="37" spans="1:34">
      <c r="A37" s="73" t="s">
        <v>228</v>
      </c>
      <c r="B37" s="73" t="s">
        <v>96</v>
      </c>
      <c r="C37" s="74"/>
      <c r="D37" s="74">
        <f>D35-C35</f>
        <v>0</v>
      </c>
      <c r="E37" s="74">
        <f t="shared" ref="E37:O37" si="38">E35-D35</f>
        <v>-754.94586195907914</v>
      </c>
      <c r="F37" s="74">
        <f t="shared" si="38"/>
        <v>-17.436351304072332</v>
      </c>
      <c r="G37" s="74">
        <f t="shared" si="38"/>
        <v>18.622006452589972</v>
      </c>
      <c r="H37" s="74">
        <f t="shared" si="38"/>
        <v>-177.95158993040502</v>
      </c>
      <c r="I37" s="74">
        <f t="shared" si="38"/>
        <v>-60.133686164522032</v>
      </c>
      <c r="J37" s="74">
        <f t="shared" si="38"/>
        <v>-63.54146113382194</v>
      </c>
      <c r="K37" s="74">
        <f t="shared" si="38"/>
        <v>-76.878193362627826</v>
      </c>
      <c r="L37" s="74">
        <f t="shared" si="38"/>
        <v>-61.815325284926075</v>
      </c>
      <c r="M37" s="74">
        <f t="shared" si="38"/>
        <v>-75.734997572403017</v>
      </c>
      <c r="N37" s="74">
        <f t="shared" si="38"/>
        <v>-80.06465196407521</v>
      </c>
      <c r="O37" s="74">
        <f t="shared" si="38"/>
        <v>-94.371582115973979</v>
      </c>
      <c r="P37" s="74">
        <f t="shared" ref="P37:AA37" si="39">P35-O35</f>
        <v>-82.598019384756753</v>
      </c>
      <c r="Q37" s="74">
        <f t="shared" si="39"/>
        <v>-98.083427764705448</v>
      </c>
      <c r="R37" s="74">
        <f t="shared" si="39"/>
        <v>-104.07807601710351</v>
      </c>
      <c r="S37" s="74">
        <f t="shared" si="39"/>
        <v>-120.15475220744224</v>
      </c>
      <c r="T37" s="74">
        <f t="shared" si="39"/>
        <v>-86.508245086126863</v>
      </c>
      <c r="U37" s="74">
        <f t="shared" si="39"/>
        <v>-99.366540135103378</v>
      </c>
      <c r="V37" s="74">
        <f t="shared" si="39"/>
        <v>-22.814065385836102</v>
      </c>
      <c r="W37" s="74">
        <f t="shared" si="39"/>
        <v>-32.999212599027487</v>
      </c>
      <c r="X37" s="74">
        <f t="shared" si="39"/>
        <v>-11.639534889274728</v>
      </c>
      <c r="Y37" s="74">
        <f t="shared" si="39"/>
        <v>-21.764253832390295</v>
      </c>
      <c r="Z37" s="74">
        <f t="shared" si="39"/>
        <v>-22.114803434323676</v>
      </c>
      <c r="AA37" s="74">
        <f t="shared" si="39"/>
        <v>-32.250725249569314</v>
      </c>
      <c r="AC37" s="74">
        <f t="shared" ref="AC37:AH37" si="40">AC35-AB35</f>
        <v>-2289.6304443910358</v>
      </c>
      <c r="AD37" s="74">
        <f t="shared" si="40"/>
        <v>-1821.5789166966688</v>
      </c>
      <c r="AE37" s="74">
        <f t="shared" si="40"/>
        <v>-1146.8183684210871</v>
      </c>
      <c r="AF37" s="74">
        <f t="shared" si="40"/>
        <v>-1471.9323129232671</v>
      </c>
      <c r="AG37" s="74">
        <f t="shared" si="40"/>
        <v>-1389.4637805417569</v>
      </c>
      <c r="AH37" s="74">
        <f t="shared" si="40"/>
        <v>-432.32354187634428</v>
      </c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">
    <outlinePr summaryBelow="0"/>
  </sheetPr>
  <dimension ref="A2:AH105"/>
  <sheetViews>
    <sheetView zoomScale="53" zoomScaleNormal="53" workbookViewId="0">
      <pane xSplit="2" ySplit="6" topLeftCell="C12" activePane="bottomRight" state="frozen"/>
      <selection activeCell="A66" sqref="A66"/>
      <selection pane="topRight"/>
      <selection pane="bottomLeft"/>
      <selection pane="bottomRight" activeCell="E44" sqref="E44"/>
    </sheetView>
  </sheetViews>
  <sheetFormatPr defaultColWidth="9.109375" defaultRowHeight="13.2"/>
  <cols>
    <col min="1" max="1" width="46.44140625" style="90" customWidth="1"/>
    <col min="2" max="2" width="13" style="90" customWidth="1"/>
    <col min="3" max="3" width="15.6640625" style="40" customWidth="1"/>
    <col min="4" max="27" width="11.44140625" style="40" customWidth="1"/>
    <col min="28" max="28" width="9.109375" style="40"/>
    <col min="29" max="34" width="11.44140625" style="40" customWidth="1"/>
    <col min="35" max="16384" width="9.109375" style="40"/>
  </cols>
  <sheetData>
    <row r="2" spans="1:34" s="11" customFormat="1">
      <c r="A2" s="60" t="str">
        <f>'Титульный лист'!$B$2</f>
        <v>Бизнес-план проекта Indoor Air Technologies</v>
      </c>
      <c r="B2" s="91"/>
      <c r="C2" s="16"/>
      <c r="T2" s="13"/>
    </row>
    <row r="3" spans="1:34">
      <c r="G3" s="92">
        <f>G4</f>
        <v>2024</v>
      </c>
      <c r="K3" s="92">
        <f>G3+1</f>
        <v>2025</v>
      </c>
      <c r="L3" s="92"/>
      <c r="M3" s="92"/>
      <c r="N3" s="92"/>
      <c r="O3" s="92">
        <f t="shared" ref="O3:AA3" si="0">K3+1</f>
        <v>2026</v>
      </c>
      <c r="P3" s="92"/>
      <c r="Q3" s="92"/>
      <c r="R3" s="92"/>
      <c r="S3" s="92">
        <f t="shared" si="0"/>
        <v>2027</v>
      </c>
      <c r="T3" s="92"/>
      <c r="U3" s="92"/>
      <c r="V3" s="92"/>
      <c r="W3" s="92">
        <f t="shared" si="0"/>
        <v>2028</v>
      </c>
      <c r="X3" s="92"/>
      <c r="Y3" s="92"/>
      <c r="Z3" s="92"/>
      <c r="AA3" s="92">
        <f t="shared" si="0"/>
        <v>2029</v>
      </c>
    </row>
    <row r="4" spans="1:34" s="11" customFormat="1">
      <c r="A4" s="17" t="s">
        <v>12</v>
      </c>
      <c r="B4" s="91"/>
      <c r="C4" s="16"/>
      <c r="D4" s="92">
        <v>2024</v>
      </c>
      <c r="E4" s="92">
        <f>D4</f>
        <v>2024</v>
      </c>
      <c r="F4" s="92">
        <f t="shared" ref="F4:G4" si="1">E4</f>
        <v>2024</v>
      </c>
      <c r="G4" s="92">
        <f t="shared" si="1"/>
        <v>2024</v>
      </c>
      <c r="H4" s="92">
        <f>D4+1</f>
        <v>2025</v>
      </c>
      <c r="I4" s="92">
        <f t="shared" ref="I4:O4" si="2">E4+1</f>
        <v>2025</v>
      </c>
      <c r="J4" s="92">
        <f t="shared" si="2"/>
        <v>2025</v>
      </c>
      <c r="K4" s="92">
        <f t="shared" si="2"/>
        <v>2025</v>
      </c>
      <c r="L4" s="92">
        <f t="shared" si="2"/>
        <v>2026</v>
      </c>
      <c r="M4" s="92">
        <f t="shared" si="2"/>
        <v>2026</v>
      </c>
      <c r="N4" s="92">
        <f t="shared" si="2"/>
        <v>2026</v>
      </c>
      <c r="O4" s="92">
        <f t="shared" si="2"/>
        <v>2026</v>
      </c>
      <c r="P4" s="92">
        <f t="shared" ref="P4:AA4" si="3">L4+1</f>
        <v>2027</v>
      </c>
      <c r="Q4" s="92">
        <f t="shared" si="3"/>
        <v>2027</v>
      </c>
      <c r="R4" s="92">
        <f t="shared" si="3"/>
        <v>2027</v>
      </c>
      <c r="S4" s="92">
        <f t="shared" si="3"/>
        <v>2027</v>
      </c>
      <c r="T4" s="92">
        <f t="shared" si="3"/>
        <v>2028</v>
      </c>
      <c r="U4" s="92">
        <f t="shared" si="3"/>
        <v>2028</v>
      </c>
      <c r="V4" s="92">
        <f t="shared" si="3"/>
        <v>2028</v>
      </c>
      <c r="W4" s="92">
        <f t="shared" si="3"/>
        <v>2028</v>
      </c>
      <c r="X4" s="92">
        <f t="shared" si="3"/>
        <v>2029</v>
      </c>
      <c r="Y4" s="92">
        <f t="shared" si="3"/>
        <v>2029</v>
      </c>
      <c r="Z4" s="92">
        <f t="shared" si="3"/>
        <v>2029</v>
      </c>
      <c r="AA4" s="92">
        <f t="shared" si="3"/>
        <v>2029</v>
      </c>
      <c r="AC4" s="92"/>
      <c r="AD4" s="92"/>
      <c r="AE4" s="92"/>
      <c r="AF4" s="92"/>
      <c r="AG4" s="92"/>
      <c r="AH4" s="92"/>
    </row>
    <row r="5" spans="1:34" s="11" customFormat="1">
      <c r="A5" s="93" t="s">
        <v>19</v>
      </c>
      <c r="B5" s="94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2024</v>
      </c>
      <c r="AD5" s="67">
        <f>AC5+1</f>
        <v>2025</v>
      </c>
      <c r="AE5" s="67">
        <f t="shared" ref="AE5:AH5" si="4">AD5+1</f>
        <v>2026</v>
      </c>
      <c r="AF5" s="67">
        <f t="shared" si="4"/>
        <v>2027</v>
      </c>
      <c r="AG5" s="67">
        <f t="shared" si="4"/>
        <v>2028</v>
      </c>
      <c r="AH5" s="67">
        <f t="shared" si="4"/>
        <v>2029</v>
      </c>
    </row>
    <row r="6" spans="1:34">
      <c r="A6" s="95" t="s">
        <v>46</v>
      </c>
      <c r="B6" s="95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/>
      <c r="AD6" s="69"/>
      <c r="AE6" s="69"/>
      <c r="AF6" s="69"/>
      <c r="AG6" s="69"/>
      <c r="AH6" s="69"/>
    </row>
    <row r="7" spans="1:34">
      <c r="A7" s="95"/>
      <c r="B7" s="95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C7" s="69"/>
      <c r="AD7" s="69"/>
      <c r="AE7" s="69"/>
      <c r="AF7" s="69"/>
      <c r="AG7" s="69"/>
      <c r="AH7" s="69"/>
    </row>
    <row r="8" spans="1:34" s="11" customFormat="1">
      <c r="A8" s="93" t="s">
        <v>169</v>
      </c>
      <c r="B8" s="94"/>
      <c r="C8" s="2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C8" s="67"/>
      <c r="AD8" s="67"/>
      <c r="AE8" s="67"/>
      <c r="AF8" s="67"/>
      <c r="AG8" s="67"/>
      <c r="AH8" s="67"/>
    </row>
    <row r="9" spans="1:34">
      <c r="A9" s="90" t="s">
        <v>170</v>
      </c>
      <c r="B9" s="90" t="s">
        <v>66</v>
      </c>
      <c r="C9" s="45">
        <f>1/10</f>
        <v>0.1</v>
      </c>
      <c r="E9" s="46">
        <v>1</v>
      </c>
    </row>
    <row r="10" spans="1:34">
      <c r="A10" s="90" t="s">
        <v>171</v>
      </c>
      <c r="B10" s="90" t="s">
        <v>66</v>
      </c>
      <c r="C10" s="45">
        <f t="shared" ref="C10:C11" si="5">1/4</f>
        <v>0.25</v>
      </c>
      <c r="D10" s="40">
        <f>MAX(Персонал!D21-Персонал!C21,)</f>
        <v>0</v>
      </c>
      <c r="E10" s="46">
        <f>MAX(Персонал!E21-Персонал!D21,)</f>
        <v>1</v>
      </c>
      <c r="F10" s="40">
        <f>MAX(Персонал!F21-Персонал!E21,)</f>
        <v>0</v>
      </c>
      <c r="G10" s="40">
        <f>MAX(Персонал!G21-Персонал!F21,)</f>
        <v>0</v>
      </c>
      <c r="H10" s="40">
        <f>MAX(Персонал!H21-Персонал!G21,)</f>
        <v>0</v>
      </c>
      <c r="I10" s="40">
        <f>MAX(Персонал!I21-Персонал!H21,)</f>
        <v>0</v>
      </c>
      <c r="J10" s="40">
        <f>MAX(Персонал!J21-Персонал!I21,)</f>
        <v>0</v>
      </c>
      <c r="K10" s="40">
        <f>MAX(Персонал!K21-Персонал!J21,)</f>
        <v>0</v>
      </c>
      <c r="L10" s="40">
        <f>MAX(Персонал!L21-Персонал!K21,)</f>
        <v>0</v>
      </c>
      <c r="M10" s="40">
        <f>MAX(Персонал!M21-Персонал!L21,)</f>
        <v>0</v>
      </c>
      <c r="N10" s="40">
        <f>MAX(Персонал!N21-Персонал!M21,)</f>
        <v>0</v>
      </c>
      <c r="O10" s="40">
        <f>MAX(Персонал!O21-Персонал!N21,)</f>
        <v>0</v>
      </c>
      <c r="P10" s="40">
        <f>MAX(Персонал!P21-Персонал!O21,)</f>
        <v>0</v>
      </c>
      <c r="Q10" s="40">
        <f>MAX(Персонал!Q21-Персонал!P21,)</f>
        <v>0</v>
      </c>
      <c r="R10" s="40">
        <f>MAX(Персонал!R21-Персонал!Q21,)</f>
        <v>0</v>
      </c>
      <c r="S10" s="40">
        <f>MAX(Персонал!S21-Персонал!R21,)</f>
        <v>0</v>
      </c>
      <c r="T10" s="40">
        <f>MAX(Персонал!T21-Персонал!S21,)</f>
        <v>0</v>
      </c>
      <c r="U10" s="40">
        <f>MAX(Персонал!U21-Персонал!T21,)</f>
        <v>0</v>
      </c>
      <c r="V10" s="40">
        <f>MAX(Персонал!V21-Персонал!U21,)</f>
        <v>0</v>
      </c>
      <c r="W10" s="40">
        <f>MAX(Персонал!W21-Персонал!V21,)</f>
        <v>0</v>
      </c>
      <c r="X10" s="40">
        <f>MAX(Персонал!X21-Персонал!W21,)</f>
        <v>0</v>
      </c>
      <c r="Y10" s="40">
        <f>MAX(Персонал!Y21-Персонал!X21,)</f>
        <v>0</v>
      </c>
      <c r="Z10" s="40">
        <f>MAX(Персонал!Z21-Персонал!Y21,)</f>
        <v>0</v>
      </c>
      <c r="AA10" s="40">
        <f>MAX(Персонал!AA21-Персонал!Z21,)</f>
        <v>0</v>
      </c>
      <c r="AC10" s="40">
        <f t="shared" ref="AC10:AC19" si="6">SUMIF($D$4:$AA$4,AC$5,$D10:$AA10)</f>
        <v>1</v>
      </c>
      <c r="AD10" s="40">
        <f t="shared" ref="AD10:AH19" si="7">SUMIF($D$4:$AA$4,AD$5,$D10:$AA10)</f>
        <v>0</v>
      </c>
      <c r="AE10" s="40">
        <f t="shared" si="7"/>
        <v>0</v>
      </c>
      <c r="AF10" s="40">
        <f t="shared" si="7"/>
        <v>0</v>
      </c>
      <c r="AG10" s="40">
        <f t="shared" si="7"/>
        <v>0</v>
      </c>
      <c r="AH10" s="40">
        <f t="shared" si="7"/>
        <v>0</v>
      </c>
    </row>
    <row r="11" spans="1:34">
      <c r="A11" s="90" t="s">
        <v>172</v>
      </c>
      <c r="B11" s="90" t="s">
        <v>66</v>
      </c>
      <c r="C11" s="45">
        <f t="shared" si="5"/>
        <v>0.25</v>
      </c>
      <c r="D11" s="40">
        <f>MAX(Персонал!D19-Персонал!C19,)*2+MAX((Персонал!D21-Персонал!D19)-(Персонал!C21-Персонал!C19),)</f>
        <v>0</v>
      </c>
      <c r="E11" s="46">
        <f>MAX(Персонал!E19-Персонал!D19,)*2+MAX((Персонал!E21-Персонал!E19)-(Персонал!D21-Персонал!D19),)</f>
        <v>1</v>
      </c>
      <c r="F11" s="40">
        <f>MAX(Персонал!F19-Персонал!E19,)*2+MAX((Персонал!F21-Персонал!F19)-(Персонал!E21-Персонал!E19),)</f>
        <v>0</v>
      </c>
      <c r="G11" s="40">
        <f>MAX(Персонал!G19-Персонал!F19,)*2+MAX((Персонал!G21-Персонал!G19)-(Персонал!F21-Персонал!F19),)</f>
        <v>0</v>
      </c>
      <c r="H11" s="40">
        <f>MAX(Персонал!H19-Персонал!G19,)*2+MAX((Персонал!H21-Персонал!H19)-(Персонал!G21-Персонал!G19),)</f>
        <v>0</v>
      </c>
      <c r="I11" s="40">
        <f>MAX(Персонал!I19-Персонал!H19,)*2+MAX((Персонал!I21-Персонал!I19)-(Персонал!H21-Персонал!H19),)</f>
        <v>0</v>
      </c>
      <c r="J11" s="40">
        <f>MAX(Персонал!J19-Персонал!I19,)*2+MAX((Персонал!J21-Персонал!J19)-(Персонал!I21-Персонал!I19),)</f>
        <v>0</v>
      </c>
      <c r="K11" s="40">
        <f>MAX(Персонал!K19-Персонал!J19,)*2+MAX((Персонал!K21-Персонал!K19)-(Персонал!J21-Персонал!J19),)</f>
        <v>0</v>
      </c>
      <c r="L11" s="40">
        <f>MAX(Персонал!L19-Персонал!K19,)*2+MAX((Персонал!L21-Персонал!L19)-(Персонал!K21-Персонал!K19),)</f>
        <v>0</v>
      </c>
      <c r="M11" s="40">
        <f>MAX(Персонал!M19-Персонал!L19,)*2+MAX((Персонал!M21-Персонал!M19)-(Персонал!L21-Персонал!L19),)</f>
        <v>0</v>
      </c>
      <c r="N11" s="40">
        <f>MAX(Персонал!N19-Персонал!M19,)*2+MAX((Персонал!N21-Персонал!N19)-(Персонал!M21-Персонал!M19),)</f>
        <v>0</v>
      </c>
      <c r="O11" s="40">
        <f>MAX(Персонал!O19-Персонал!N19,)*2+MAX((Персонал!O21-Персонал!O19)-(Персонал!N21-Персонал!N19),)</f>
        <v>0</v>
      </c>
      <c r="P11" s="40">
        <f>MAX(Персонал!P19-Персонал!O19,)*2+MAX((Персонал!P21-Персонал!P19)-(Персонал!O21-Персонал!O19),)</f>
        <v>0</v>
      </c>
      <c r="Q11" s="40">
        <f>MAX(Персонал!Q19-Персонал!P19,)*2+MAX((Персонал!Q21-Персонал!Q19)-(Персонал!P21-Персонал!P19),)</f>
        <v>0</v>
      </c>
      <c r="R11" s="40">
        <f>MAX(Персонал!R19-Персонал!Q19,)*2+MAX((Персонал!R21-Персонал!R19)-(Персонал!Q21-Персонал!Q19),)</f>
        <v>0</v>
      </c>
      <c r="S11" s="40">
        <f>MAX(Персонал!S19-Персонал!R19,)*2+MAX((Персонал!S21-Персонал!S19)-(Персонал!R21-Персонал!R19),)</f>
        <v>0</v>
      </c>
      <c r="T11" s="40">
        <f>MAX(Персонал!T19-Персонал!S19,)*2+MAX((Персонал!T21-Персонал!T19)-(Персонал!S21-Персонал!S19),)</f>
        <v>0</v>
      </c>
      <c r="U11" s="40">
        <f>MAX(Персонал!U19-Персонал!T19,)*2+MAX((Персонал!U21-Персонал!U19)-(Персонал!T21-Персонал!T19),)</f>
        <v>0</v>
      </c>
      <c r="V11" s="40">
        <f>MAX(Персонал!V19-Персонал!U19,)*2+MAX((Персонал!V21-Персонал!V19)-(Персонал!U21-Персонал!U19),)</f>
        <v>0</v>
      </c>
      <c r="W11" s="40">
        <f>MAX(Персонал!W19-Персонал!V19,)*2+MAX((Персонал!W21-Персонал!W19)-(Персонал!V21-Персонал!V19),)</f>
        <v>0</v>
      </c>
      <c r="X11" s="40">
        <f>MAX(Персонал!X19-Персонал!W19,)*2+MAX((Персонал!X21-Персонал!X19)-(Персонал!W21-Персонал!W19),)</f>
        <v>0</v>
      </c>
      <c r="Y11" s="40">
        <f>MAX(Персонал!Y19-Персонал!X19,)*2+MAX((Персонал!Y21-Персонал!Y19)-(Персонал!X21-Персонал!X19),)</f>
        <v>0</v>
      </c>
      <c r="Z11" s="40">
        <f>MAX(Персонал!Z19-Персонал!Y19,)*2+MAX((Персонал!Z21-Персонал!Z19)-(Персонал!Y21-Персонал!Y19),)</f>
        <v>0</v>
      </c>
      <c r="AA11" s="40">
        <f>MAX(Персонал!AA19-Персонал!Z19,)*2+MAX((Персонал!AA21-Персонал!AA19)-(Персонал!Z21-Персонал!Z19),)</f>
        <v>0</v>
      </c>
      <c r="AC11" s="40">
        <f t="shared" si="6"/>
        <v>1</v>
      </c>
      <c r="AD11" s="40">
        <f t="shared" si="7"/>
        <v>0</v>
      </c>
      <c r="AE11" s="40">
        <f t="shared" si="7"/>
        <v>0</v>
      </c>
      <c r="AF11" s="40">
        <f t="shared" si="7"/>
        <v>0</v>
      </c>
      <c r="AG11" s="40">
        <f t="shared" si="7"/>
        <v>0</v>
      </c>
      <c r="AH11" s="40">
        <f t="shared" si="7"/>
        <v>0</v>
      </c>
    </row>
    <row r="12" spans="1:34" s="83" customFormat="1">
      <c r="A12" s="90" t="s">
        <v>173</v>
      </c>
      <c r="B12" s="90" t="s">
        <v>66</v>
      </c>
      <c r="C12" s="45">
        <f t="shared" ref="C12:C14" si="8">1/10</f>
        <v>0.1</v>
      </c>
      <c r="D12" s="40"/>
      <c r="E12" s="43">
        <f>MAX(Персонал!E$21-Персонал!D$21,)</f>
        <v>1</v>
      </c>
      <c r="F12" s="83">
        <f>MAX(Персонал!F$21-Персонал!E$21,)</f>
        <v>0</v>
      </c>
      <c r="G12" s="83">
        <f>MAX(Персонал!G$21-Персонал!F$21,)</f>
        <v>0</v>
      </c>
      <c r="H12" s="83">
        <f>MAX(Персонал!H$21-Персонал!G$21,)</f>
        <v>0</v>
      </c>
      <c r="I12" s="83">
        <f>MAX(Персонал!I$21-Персонал!H$21,)</f>
        <v>0</v>
      </c>
      <c r="J12" s="83">
        <f>MAX(Персонал!J$21-Персонал!I$21,)</f>
        <v>0</v>
      </c>
      <c r="K12" s="83">
        <f>MAX(Персонал!K$21-Персонал!J$21,)</f>
        <v>0</v>
      </c>
      <c r="L12" s="83">
        <f>MAX(Персонал!L$21-Персонал!K$21,)</f>
        <v>0</v>
      </c>
      <c r="M12" s="83">
        <f>MAX(Персонал!M$21-Персонал!L$21,)</f>
        <v>0</v>
      </c>
      <c r="N12" s="83">
        <f>MAX(Персонал!N$21-Персонал!M$21,)</f>
        <v>0</v>
      </c>
      <c r="O12" s="83">
        <f>MAX(Персонал!O$21-Персонал!N$21,)</f>
        <v>0</v>
      </c>
      <c r="P12" s="83">
        <f>MAX(Персонал!P$21-Персонал!O$21,)</f>
        <v>0</v>
      </c>
      <c r="Q12" s="83">
        <f>MAX(Персонал!Q$21-Персонал!P$21,)</f>
        <v>0</v>
      </c>
      <c r="R12" s="83">
        <f>MAX(Персонал!R$21-Персонал!Q$21,)</f>
        <v>0</v>
      </c>
      <c r="S12" s="83">
        <f>MAX(Персонал!S$21-Персонал!R$21,)</f>
        <v>0</v>
      </c>
      <c r="T12" s="83">
        <f>MAX(Персонал!T$21-Персонал!S$21,)</f>
        <v>0</v>
      </c>
      <c r="U12" s="83">
        <f>MAX(Персонал!U$21-Персонал!T$21,)</f>
        <v>0</v>
      </c>
      <c r="V12" s="83">
        <f>MAX(Персонал!V$21-Персонал!U$21,)</f>
        <v>0</v>
      </c>
      <c r="W12" s="83">
        <f>MAX(Персонал!W$21-Персонал!V$21,)</f>
        <v>0</v>
      </c>
      <c r="X12" s="83">
        <f>MAX(Персонал!X$21-Персонал!W$21,)</f>
        <v>0</v>
      </c>
      <c r="Y12" s="83">
        <f>MAX(Персонал!Y$21-Персонал!X$21,)</f>
        <v>0</v>
      </c>
      <c r="Z12" s="83">
        <f>MAX(Персонал!Z$21-Персонал!Y$21,)</f>
        <v>0</v>
      </c>
      <c r="AA12" s="83">
        <f>MAX(Персонал!AA$21-Персонал!Z$21,)</f>
        <v>0</v>
      </c>
      <c r="AC12" s="40">
        <f t="shared" si="6"/>
        <v>1</v>
      </c>
      <c r="AD12" s="40">
        <f t="shared" si="7"/>
        <v>0</v>
      </c>
      <c r="AE12" s="40">
        <f t="shared" si="7"/>
        <v>0</v>
      </c>
      <c r="AF12" s="40">
        <f t="shared" si="7"/>
        <v>0</v>
      </c>
      <c r="AG12" s="40">
        <f t="shared" si="7"/>
        <v>0</v>
      </c>
      <c r="AH12" s="40">
        <f t="shared" si="7"/>
        <v>0</v>
      </c>
    </row>
    <row r="13" spans="1:34" s="83" customFormat="1">
      <c r="A13" s="90" t="s">
        <v>174</v>
      </c>
      <c r="B13" s="90" t="s">
        <v>66</v>
      </c>
      <c r="C13" s="45">
        <f t="shared" si="8"/>
        <v>0.1</v>
      </c>
      <c r="D13" s="40"/>
      <c r="E13" s="43">
        <f>MAX(Персонал!E$21-Персонал!D$21,)</f>
        <v>1</v>
      </c>
      <c r="F13" s="83">
        <f>MAX(Персонал!F$21-Персонал!E$21,)</f>
        <v>0</v>
      </c>
      <c r="G13" s="83">
        <f>MAX(Персонал!G$21-Персонал!F$21,)</f>
        <v>0</v>
      </c>
      <c r="H13" s="83">
        <f>MAX(Персонал!H$21-Персонал!G$21,)</f>
        <v>0</v>
      </c>
      <c r="I13" s="83">
        <f>MAX(Персонал!I$21-Персонал!H$21,)</f>
        <v>0</v>
      </c>
      <c r="J13" s="83">
        <f>MAX(Персонал!J$21-Персонал!I$21,)</f>
        <v>0</v>
      </c>
      <c r="K13" s="83">
        <f>MAX(Персонал!K$21-Персонал!J$21,)</f>
        <v>0</v>
      </c>
      <c r="L13" s="83">
        <f>MAX(Персонал!L$21-Персонал!K$21,)</f>
        <v>0</v>
      </c>
      <c r="M13" s="83">
        <f>MAX(Персонал!M$21-Персонал!L$21,)</f>
        <v>0</v>
      </c>
      <c r="N13" s="83">
        <f>MAX(Персонал!N$21-Персонал!M$21,)</f>
        <v>0</v>
      </c>
      <c r="O13" s="83">
        <f>MAX(Персонал!O$21-Персонал!N$21,)</f>
        <v>0</v>
      </c>
      <c r="P13" s="83">
        <f>MAX(Персонал!P$21-Персонал!O$21,)</f>
        <v>0</v>
      </c>
      <c r="Q13" s="83">
        <f>MAX(Персонал!Q$21-Персонал!P$21,)</f>
        <v>0</v>
      </c>
      <c r="R13" s="83">
        <f>MAX(Персонал!R$21-Персонал!Q$21,)</f>
        <v>0</v>
      </c>
      <c r="S13" s="83">
        <f>MAX(Персонал!S$21-Персонал!R$21,)</f>
        <v>0</v>
      </c>
      <c r="T13" s="83">
        <f>MAX(Персонал!T$21-Персонал!S$21,)</f>
        <v>0</v>
      </c>
      <c r="U13" s="83">
        <f>MAX(Персонал!U$21-Персонал!T$21,)</f>
        <v>0</v>
      </c>
      <c r="V13" s="83">
        <f>MAX(Персонал!V$21-Персонал!U$21,)</f>
        <v>0</v>
      </c>
      <c r="W13" s="83">
        <f>MAX(Персонал!W$21-Персонал!V$21,)</f>
        <v>0</v>
      </c>
      <c r="X13" s="83">
        <f>MAX(Персонал!X$21-Персонал!W$21,)</f>
        <v>0</v>
      </c>
      <c r="Y13" s="83">
        <f>MAX(Персонал!Y$21-Персонал!X$21,)</f>
        <v>0</v>
      </c>
      <c r="Z13" s="83">
        <f>MAX(Персонал!Z$21-Персонал!Y$21,)</f>
        <v>0</v>
      </c>
      <c r="AA13" s="83">
        <f>MAX(Персонал!AA$21-Персонал!Z$21,)</f>
        <v>0</v>
      </c>
      <c r="AC13" s="40">
        <f t="shared" si="6"/>
        <v>1</v>
      </c>
      <c r="AD13" s="40">
        <f t="shared" si="7"/>
        <v>0</v>
      </c>
      <c r="AE13" s="40">
        <f t="shared" si="7"/>
        <v>0</v>
      </c>
      <c r="AF13" s="40">
        <f t="shared" si="7"/>
        <v>0</v>
      </c>
      <c r="AG13" s="40">
        <f t="shared" si="7"/>
        <v>0</v>
      </c>
      <c r="AH13" s="40">
        <f t="shared" si="7"/>
        <v>0</v>
      </c>
    </row>
    <row r="14" spans="1:34" s="83" customFormat="1">
      <c r="A14" s="90" t="s">
        <v>175</v>
      </c>
      <c r="B14" s="90" t="s">
        <v>66</v>
      </c>
      <c r="C14" s="45">
        <f t="shared" si="8"/>
        <v>0.1</v>
      </c>
      <c r="D14" s="40"/>
      <c r="E14" s="43">
        <f>MAX(Персонал!E$21-Персонал!D$21,)/2</f>
        <v>0.5</v>
      </c>
      <c r="F14" s="83">
        <f>MAX(Персонал!F$21-Персонал!E$21,)/2</f>
        <v>0</v>
      </c>
      <c r="G14" s="83">
        <f>MAX(Персонал!G$21-Персонал!F$21,)/2</f>
        <v>0</v>
      </c>
      <c r="H14" s="83">
        <f>MAX(Персонал!H$21-Персонал!G$21,)/2</f>
        <v>0</v>
      </c>
      <c r="I14" s="83">
        <f>MAX(Персонал!I$21-Персонал!H$21,)/2</f>
        <v>0</v>
      </c>
      <c r="J14" s="83">
        <f>MAX(Персонал!J$21-Персонал!I$21,)/2</f>
        <v>0</v>
      </c>
      <c r="K14" s="83">
        <f>MAX(Персонал!K$21-Персонал!J$21,)/2</f>
        <v>0</v>
      </c>
      <c r="L14" s="83">
        <f>MAX(Персонал!L$21-Персонал!K$21,)/2</f>
        <v>0</v>
      </c>
      <c r="M14" s="83">
        <f>MAX(Персонал!M$21-Персонал!L$21,)/2</f>
        <v>0</v>
      </c>
      <c r="N14" s="83">
        <f>MAX(Персонал!N$21-Персонал!M$21,)/2</f>
        <v>0</v>
      </c>
      <c r="O14" s="83">
        <f>MAX(Персонал!O$21-Персонал!N$21,)/2</f>
        <v>0</v>
      </c>
      <c r="P14" s="83">
        <f>MAX(Персонал!P$21-Персонал!O$21,)/2</f>
        <v>0</v>
      </c>
      <c r="Q14" s="83">
        <f>MAX(Персонал!Q$21-Персонал!P$21,)/2</f>
        <v>0</v>
      </c>
      <c r="R14" s="83">
        <f>MAX(Персонал!R$21-Персонал!Q$21,)/2</f>
        <v>0</v>
      </c>
      <c r="S14" s="83">
        <f>MAX(Персонал!S$21-Персонал!R$21,)/2</f>
        <v>0</v>
      </c>
      <c r="T14" s="83">
        <f>MAX(Персонал!T$21-Персонал!S$21,)/2</f>
        <v>0</v>
      </c>
      <c r="U14" s="83">
        <f>MAX(Персонал!U$21-Персонал!T$21,)/2</f>
        <v>0</v>
      </c>
      <c r="V14" s="83">
        <f>MAX(Персонал!V$21-Персонал!U$21,)/2</f>
        <v>0</v>
      </c>
      <c r="W14" s="83">
        <f>MAX(Персонал!W$21-Персонал!V$21,)/2</f>
        <v>0</v>
      </c>
      <c r="X14" s="83">
        <f>MAX(Персонал!X$21-Персонал!W$21,)/2</f>
        <v>0</v>
      </c>
      <c r="Y14" s="83">
        <f>MAX(Персонал!Y$21-Персонал!X$21,)/2</f>
        <v>0</v>
      </c>
      <c r="Z14" s="83">
        <f>MAX(Персонал!Z$21-Персонал!Y$21,)/2</f>
        <v>0</v>
      </c>
      <c r="AA14" s="83">
        <f>MAX(Персонал!AA$21-Персонал!Z$21,)/2</f>
        <v>0</v>
      </c>
      <c r="AC14" s="40">
        <f t="shared" si="6"/>
        <v>0.5</v>
      </c>
      <c r="AD14" s="40">
        <f t="shared" si="7"/>
        <v>0</v>
      </c>
      <c r="AE14" s="40">
        <f t="shared" si="7"/>
        <v>0</v>
      </c>
      <c r="AF14" s="40">
        <f t="shared" si="7"/>
        <v>0</v>
      </c>
      <c r="AG14" s="40">
        <f t="shared" si="7"/>
        <v>0</v>
      </c>
      <c r="AH14" s="40">
        <f t="shared" si="7"/>
        <v>0</v>
      </c>
    </row>
    <row r="15" spans="1:34" s="83" customFormat="1">
      <c r="A15" s="90" t="s">
        <v>176</v>
      </c>
      <c r="B15" s="90" t="s">
        <v>66</v>
      </c>
      <c r="C15" s="45">
        <f>1/4</f>
        <v>0.25</v>
      </c>
      <c r="D15" s="40"/>
      <c r="E15" s="43">
        <v>1</v>
      </c>
      <c r="AC15" s="40">
        <f t="shared" si="6"/>
        <v>1</v>
      </c>
      <c r="AD15" s="40">
        <f t="shared" si="7"/>
        <v>0</v>
      </c>
      <c r="AE15" s="40">
        <f t="shared" si="7"/>
        <v>0</v>
      </c>
      <c r="AF15" s="40">
        <f t="shared" si="7"/>
        <v>0</v>
      </c>
      <c r="AG15" s="40">
        <f t="shared" si="7"/>
        <v>0</v>
      </c>
      <c r="AH15" s="40">
        <f t="shared" si="7"/>
        <v>0</v>
      </c>
    </row>
    <row r="16" spans="1:34" s="83" customFormat="1">
      <c r="A16" s="90" t="s">
        <v>177</v>
      </c>
      <c r="B16" s="90" t="s">
        <v>66</v>
      </c>
      <c r="C16" s="45">
        <f t="shared" ref="C16:C17" si="9">1/10</f>
        <v>0.1</v>
      </c>
      <c r="D16" s="40"/>
      <c r="E16" s="43">
        <v>0</v>
      </c>
      <c r="AC16" s="40">
        <f t="shared" si="6"/>
        <v>0</v>
      </c>
      <c r="AD16" s="40">
        <f t="shared" si="7"/>
        <v>0</v>
      </c>
      <c r="AE16" s="40">
        <f t="shared" si="7"/>
        <v>0</v>
      </c>
      <c r="AF16" s="40">
        <f t="shared" si="7"/>
        <v>0</v>
      </c>
      <c r="AG16" s="40">
        <f t="shared" si="7"/>
        <v>0</v>
      </c>
      <c r="AH16" s="40">
        <f t="shared" si="7"/>
        <v>0</v>
      </c>
    </row>
    <row r="17" spans="1:34" s="83" customFormat="1">
      <c r="A17" s="90" t="s">
        <v>178</v>
      </c>
      <c r="B17" s="90" t="s">
        <v>66</v>
      </c>
      <c r="C17" s="45">
        <f t="shared" si="9"/>
        <v>0.1</v>
      </c>
      <c r="D17" s="40"/>
      <c r="E17" s="43">
        <v>1</v>
      </c>
      <c r="AC17" s="40">
        <f t="shared" si="6"/>
        <v>1</v>
      </c>
      <c r="AD17" s="40">
        <f t="shared" si="7"/>
        <v>0</v>
      </c>
      <c r="AE17" s="40">
        <f t="shared" si="7"/>
        <v>0</v>
      </c>
      <c r="AF17" s="40">
        <f t="shared" si="7"/>
        <v>0</v>
      </c>
      <c r="AG17" s="40">
        <f t="shared" si="7"/>
        <v>0</v>
      </c>
      <c r="AH17" s="40">
        <f t="shared" si="7"/>
        <v>0</v>
      </c>
    </row>
    <row r="18" spans="1:34" s="83" customFormat="1">
      <c r="A18" s="90" t="s">
        <v>179</v>
      </c>
      <c r="B18" s="90" t="s">
        <v>66</v>
      </c>
      <c r="C18" s="45">
        <f>1/4</f>
        <v>0.25</v>
      </c>
      <c r="D18" s="40"/>
      <c r="E18" s="43">
        <v>1</v>
      </c>
      <c r="AC18" s="40">
        <f t="shared" si="6"/>
        <v>1</v>
      </c>
      <c r="AD18" s="40">
        <f t="shared" si="7"/>
        <v>0</v>
      </c>
      <c r="AE18" s="40">
        <f t="shared" si="7"/>
        <v>0</v>
      </c>
      <c r="AF18" s="40">
        <f t="shared" si="7"/>
        <v>0</v>
      </c>
      <c r="AG18" s="40">
        <f t="shared" si="7"/>
        <v>0</v>
      </c>
      <c r="AH18" s="40">
        <f t="shared" si="7"/>
        <v>0</v>
      </c>
    </row>
    <row r="19" spans="1:34" s="83" customFormat="1">
      <c r="A19" s="90" t="s">
        <v>180</v>
      </c>
      <c r="B19" s="90" t="s">
        <v>66</v>
      </c>
      <c r="C19" s="45">
        <f>1/10</f>
        <v>0.1</v>
      </c>
      <c r="D19" s="40"/>
      <c r="E19" s="43">
        <v>1</v>
      </c>
      <c r="AC19" s="40">
        <f t="shared" si="6"/>
        <v>1</v>
      </c>
      <c r="AD19" s="40">
        <f t="shared" si="7"/>
        <v>0</v>
      </c>
      <c r="AE19" s="40">
        <f t="shared" si="7"/>
        <v>0</v>
      </c>
      <c r="AF19" s="40">
        <f t="shared" si="7"/>
        <v>0</v>
      </c>
      <c r="AG19" s="40">
        <f t="shared" si="7"/>
        <v>0</v>
      </c>
      <c r="AH19" s="40">
        <f t="shared" si="7"/>
        <v>0</v>
      </c>
    </row>
    <row r="20" spans="1:34" s="83" customFormat="1">
      <c r="A20" s="90"/>
      <c r="B20" s="90"/>
      <c r="C20" s="40"/>
      <c r="D20" s="40"/>
      <c r="E20" s="40"/>
    </row>
    <row r="21" spans="1:34">
      <c r="A21" s="90" t="s">
        <v>181</v>
      </c>
      <c r="B21" s="90" t="s">
        <v>69</v>
      </c>
      <c r="D21" s="46">
        <v>0</v>
      </c>
      <c r="E21" s="40">
        <f>D21*(1+Предположения!E$9)</f>
        <v>0</v>
      </c>
    </row>
    <row r="22" spans="1:34">
      <c r="A22" s="90" t="s">
        <v>182</v>
      </c>
      <c r="B22" s="90" t="s">
        <v>69</v>
      </c>
      <c r="D22" s="43">
        <v>0</v>
      </c>
      <c r="E22" s="40">
        <f>D22*(1+Предположения!E$9)</f>
        <v>0</v>
      </c>
      <c r="F22" s="40">
        <f>E22*(1+Предположения!F$9)</f>
        <v>0</v>
      </c>
      <c r="G22" s="40">
        <f>F22*(1+Предположения!G$9)</f>
        <v>0</v>
      </c>
      <c r="H22" s="40">
        <f>G22*(1+Предположения!H$9)</f>
        <v>0</v>
      </c>
      <c r="I22" s="40">
        <f>H22*(1+Предположения!I$9)</f>
        <v>0</v>
      </c>
      <c r="J22" s="40">
        <f>I22*(1+Предположения!J$9)</f>
        <v>0</v>
      </c>
      <c r="K22" s="40">
        <f>J22*(1+Предположения!K$9)</f>
        <v>0</v>
      </c>
      <c r="L22" s="40">
        <f>K22*(1+Предположения!L$9)</f>
        <v>0</v>
      </c>
      <c r="M22" s="40">
        <f>L22*(1+Предположения!M$9)</f>
        <v>0</v>
      </c>
      <c r="N22" s="40">
        <f>M22*(1+Предположения!N$9)</f>
        <v>0</v>
      </c>
      <c r="O22" s="40">
        <f>N22*(1+Предположения!O$9)</f>
        <v>0</v>
      </c>
      <c r="P22" s="40">
        <f>O22*(1+Предположения!P$9)</f>
        <v>0</v>
      </c>
      <c r="Q22" s="40">
        <f>P22*(1+Предположения!Q$9)</f>
        <v>0</v>
      </c>
      <c r="R22" s="40">
        <f>Q22*(1+Предположения!R$9)</f>
        <v>0</v>
      </c>
      <c r="S22" s="40">
        <f>R22*(1+Предположения!S$9)</f>
        <v>0</v>
      </c>
      <c r="T22" s="40">
        <f>S22*(1+Предположения!T$9)</f>
        <v>0</v>
      </c>
      <c r="U22" s="40">
        <f>T22*(1+Предположения!U$9)</f>
        <v>0</v>
      </c>
      <c r="V22" s="40">
        <f>U22*(1+Предположения!V$9)</f>
        <v>0</v>
      </c>
      <c r="W22" s="40">
        <f>V22*(1+Предположения!W$9)</f>
        <v>0</v>
      </c>
      <c r="X22" s="40">
        <f>W22*(1+Предположения!X$9)</f>
        <v>0</v>
      </c>
      <c r="Y22" s="40">
        <f>X22*(1+Предположения!Y$9)</f>
        <v>0</v>
      </c>
      <c r="Z22" s="40">
        <f>Y22*(1+Предположения!Z$9)</f>
        <v>0</v>
      </c>
      <c r="AA22" s="40">
        <f>Z22*(1+Предположения!AA$9)</f>
        <v>0</v>
      </c>
      <c r="AC22" s="40">
        <f t="shared" ref="AC22:AC31" si="10">AVERAGEIF($D$4:$AA$4,AC$5,$D22:$AA22)</f>
        <v>0</v>
      </c>
      <c r="AD22" s="40">
        <f t="shared" ref="AD22:AH31" si="11">AVERAGEIF($D$4:$AA$4,AD$5,$D22:$AA22)</f>
        <v>0</v>
      </c>
      <c r="AE22" s="40">
        <f t="shared" si="11"/>
        <v>0</v>
      </c>
      <c r="AF22" s="40">
        <f t="shared" si="11"/>
        <v>0</v>
      </c>
      <c r="AG22" s="40">
        <f t="shared" si="11"/>
        <v>0</v>
      </c>
      <c r="AH22" s="40">
        <f t="shared" si="11"/>
        <v>0</v>
      </c>
    </row>
    <row r="23" spans="1:34">
      <c r="A23" s="90" t="s">
        <v>183</v>
      </c>
      <c r="B23" s="90" t="s">
        <v>69</v>
      </c>
      <c r="D23" s="43">
        <v>0</v>
      </c>
      <c r="E23" s="40">
        <f>D23*(1+Предположения!E$9)</f>
        <v>0</v>
      </c>
      <c r="F23" s="40">
        <f>E23*(1+Предположения!F$9)</f>
        <v>0</v>
      </c>
      <c r="G23" s="40">
        <f>F23*(1+Предположения!G$9)</f>
        <v>0</v>
      </c>
      <c r="H23" s="40">
        <f>G23*(1+Предположения!H$9)</f>
        <v>0</v>
      </c>
      <c r="I23" s="40">
        <f>H23*(1+Предположения!I$9)</f>
        <v>0</v>
      </c>
      <c r="J23" s="40">
        <f>I23*(1+Предположения!J$9)</f>
        <v>0</v>
      </c>
      <c r="K23" s="40">
        <f>J23*(1+Предположения!K$9)</f>
        <v>0</v>
      </c>
      <c r="L23" s="40">
        <f>K23*(1+Предположения!L$9)</f>
        <v>0</v>
      </c>
      <c r="M23" s="40">
        <f>L23*(1+Предположения!M$9)</f>
        <v>0</v>
      </c>
      <c r="N23" s="40">
        <f>M23*(1+Предположения!N$9)</f>
        <v>0</v>
      </c>
      <c r="O23" s="40">
        <f>N23*(1+Предположения!O$9)</f>
        <v>0</v>
      </c>
      <c r="P23" s="40">
        <f>O23*(1+Предположения!P$9)</f>
        <v>0</v>
      </c>
      <c r="Q23" s="40">
        <f>P23*(1+Предположения!Q$9)</f>
        <v>0</v>
      </c>
      <c r="R23" s="40">
        <f>Q23*(1+Предположения!R$9)</f>
        <v>0</v>
      </c>
      <c r="S23" s="40">
        <f>R23*(1+Предположения!S$9)</f>
        <v>0</v>
      </c>
      <c r="T23" s="40">
        <f>S23*(1+Предположения!T$9)</f>
        <v>0</v>
      </c>
      <c r="U23" s="40">
        <f>T23*(1+Предположения!U$9)</f>
        <v>0</v>
      </c>
      <c r="V23" s="40">
        <f>U23*(1+Предположения!V$9)</f>
        <v>0</v>
      </c>
      <c r="W23" s="40">
        <f>V23*(1+Предположения!W$9)</f>
        <v>0</v>
      </c>
      <c r="X23" s="40">
        <f>W23*(1+Предположения!X$9)</f>
        <v>0</v>
      </c>
      <c r="Y23" s="40">
        <f>X23*(1+Предположения!Y$9)</f>
        <v>0</v>
      </c>
      <c r="Z23" s="40">
        <f>Y23*(1+Предположения!Z$9)</f>
        <v>0</v>
      </c>
      <c r="AA23" s="40">
        <f>Z23*(1+Предположения!AA$9)</f>
        <v>0</v>
      </c>
      <c r="AC23" s="40">
        <f t="shared" si="10"/>
        <v>0</v>
      </c>
      <c r="AD23" s="40">
        <f t="shared" si="11"/>
        <v>0</v>
      </c>
      <c r="AE23" s="40">
        <f t="shared" si="11"/>
        <v>0</v>
      </c>
      <c r="AF23" s="40">
        <f t="shared" si="11"/>
        <v>0</v>
      </c>
      <c r="AG23" s="40">
        <f t="shared" si="11"/>
        <v>0</v>
      </c>
      <c r="AH23" s="40">
        <f t="shared" si="11"/>
        <v>0</v>
      </c>
    </row>
    <row r="24" spans="1:34" s="83" customFormat="1">
      <c r="A24" s="90" t="s">
        <v>173</v>
      </c>
      <c r="B24" s="90" t="s">
        <v>69</v>
      </c>
      <c r="C24" s="40"/>
      <c r="D24" s="43">
        <v>0</v>
      </c>
      <c r="E24" s="40">
        <f>D24*(1+Предположения!E$9)</f>
        <v>0</v>
      </c>
      <c r="F24" s="40">
        <f>E24*(1+Предположения!F$9)</f>
        <v>0</v>
      </c>
      <c r="G24" s="40">
        <f>F24*(1+Предположения!G$9)</f>
        <v>0</v>
      </c>
      <c r="H24" s="40">
        <f>G24*(1+Предположения!H$9)</f>
        <v>0</v>
      </c>
      <c r="I24" s="40">
        <f>H24*(1+Предположения!I$9)</f>
        <v>0</v>
      </c>
      <c r="J24" s="40">
        <f>I24*(1+Предположения!J$9)</f>
        <v>0</v>
      </c>
      <c r="K24" s="40">
        <f>J24*(1+Предположения!K$9)</f>
        <v>0</v>
      </c>
      <c r="L24" s="40">
        <f>K24*(1+Предположения!L$9)</f>
        <v>0</v>
      </c>
      <c r="M24" s="40">
        <f>L24*(1+Предположения!M$9)</f>
        <v>0</v>
      </c>
      <c r="N24" s="40">
        <f>M24*(1+Предположения!N$9)</f>
        <v>0</v>
      </c>
      <c r="O24" s="40">
        <f>N24*(1+Предположения!O$9)</f>
        <v>0</v>
      </c>
      <c r="P24" s="40">
        <f>O24*(1+Предположения!P$9)</f>
        <v>0</v>
      </c>
      <c r="Q24" s="40">
        <f>P24*(1+Предположения!Q$9)</f>
        <v>0</v>
      </c>
      <c r="R24" s="40">
        <f>Q24*(1+Предположения!R$9)</f>
        <v>0</v>
      </c>
      <c r="S24" s="40">
        <f>R24*(1+Предположения!S$9)</f>
        <v>0</v>
      </c>
      <c r="T24" s="40">
        <f>S24*(1+Предположения!T$9)</f>
        <v>0</v>
      </c>
      <c r="U24" s="40">
        <f>T24*(1+Предположения!U$9)</f>
        <v>0</v>
      </c>
      <c r="V24" s="40">
        <f>U24*(1+Предположения!V$9)</f>
        <v>0</v>
      </c>
      <c r="W24" s="40">
        <f>V24*(1+Предположения!W$9)</f>
        <v>0</v>
      </c>
      <c r="X24" s="40">
        <f>W24*(1+Предположения!X$9)</f>
        <v>0</v>
      </c>
      <c r="Y24" s="40">
        <f>X24*(1+Предположения!Y$9)</f>
        <v>0</v>
      </c>
      <c r="Z24" s="40">
        <f>Y24*(1+Предположения!Z$9)</f>
        <v>0</v>
      </c>
      <c r="AA24" s="40">
        <f>Z24*(1+Предположения!AA$9)</f>
        <v>0</v>
      </c>
      <c r="AC24" s="40">
        <f t="shared" si="10"/>
        <v>0</v>
      </c>
      <c r="AD24" s="40">
        <f t="shared" si="11"/>
        <v>0</v>
      </c>
      <c r="AE24" s="40">
        <f t="shared" si="11"/>
        <v>0</v>
      </c>
      <c r="AF24" s="40">
        <f t="shared" si="11"/>
        <v>0</v>
      </c>
      <c r="AG24" s="40">
        <f t="shared" si="11"/>
        <v>0</v>
      </c>
      <c r="AH24" s="40">
        <f t="shared" si="11"/>
        <v>0</v>
      </c>
    </row>
    <row r="25" spans="1:34" s="83" customFormat="1">
      <c r="A25" s="90" t="s">
        <v>174</v>
      </c>
      <c r="B25" s="90" t="s">
        <v>69</v>
      </c>
      <c r="C25" s="40"/>
      <c r="D25" s="43">
        <v>0</v>
      </c>
      <c r="E25" s="40">
        <f>D25*(1+Предположения!E$9)</f>
        <v>0</v>
      </c>
      <c r="F25" s="40">
        <f>E25*(1+Предположения!F$9)</f>
        <v>0</v>
      </c>
      <c r="G25" s="40">
        <f>F25*(1+Предположения!G$9)</f>
        <v>0</v>
      </c>
      <c r="H25" s="40">
        <f>G25*(1+Предположения!H$9)</f>
        <v>0</v>
      </c>
      <c r="I25" s="40">
        <f>H25*(1+Предположения!I$9)</f>
        <v>0</v>
      </c>
      <c r="J25" s="40">
        <f>I25*(1+Предположения!J$9)</f>
        <v>0</v>
      </c>
      <c r="K25" s="40">
        <f>J25*(1+Предположения!K$9)</f>
        <v>0</v>
      </c>
      <c r="L25" s="40">
        <f>K25*(1+Предположения!L$9)</f>
        <v>0</v>
      </c>
      <c r="M25" s="40">
        <f>L25*(1+Предположения!M$9)</f>
        <v>0</v>
      </c>
      <c r="N25" s="40">
        <f>M25*(1+Предположения!N$9)</f>
        <v>0</v>
      </c>
      <c r="O25" s="40">
        <f>N25*(1+Предположения!O$9)</f>
        <v>0</v>
      </c>
      <c r="P25" s="40">
        <f>O25*(1+Предположения!P$9)</f>
        <v>0</v>
      </c>
      <c r="Q25" s="40">
        <f>P25*(1+Предположения!Q$9)</f>
        <v>0</v>
      </c>
      <c r="R25" s="40">
        <f>Q25*(1+Предположения!R$9)</f>
        <v>0</v>
      </c>
      <c r="S25" s="40">
        <f>R25*(1+Предположения!S$9)</f>
        <v>0</v>
      </c>
      <c r="T25" s="40">
        <f>S25*(1+Предположения!T$9)</f>
        <v>0</v>
      </c>
      <c r="U25" s="40">
        <f>T25*(1+Предположения!U$9)</f>
        <v>0</v>
      </c>
      <c r="V25" s="40">
        <f>U25*(1+Предположения!V$9)</f>
        <v>0</v>
      </c>
      <c r="W25" s="40">
        <f>V25*(1+Предположения!W$9)</f>
        <v>0</v>
      </c>
      <c r="X25" s="40">
        <f>W25*(1+Предположения!X$9)</f>
        <v>0</v>
      </c>
      <c r="Y25" s="40">
        <f>X25*(1+Предположения!Y$9)</f>
        <v>0</v>
      </c>
      <c r="Z25" s="40">
        <f>Y25*(1+Предположения!Z$9)</f>
        <v>0</v>
      </c>
      <c r="AA25" s="40">
        <f>Z25*(1+Предположения!AA$9)</f>
        <v>0</v>
      </c>
      <c r="AC25" s="40">
        <f t="shared" si="10"/>
        <v>0</v>
      </c>
      <c r="AD25" s="40">
        <f t="shared" si="11"/>
        <v>0</v>
      </c>
      <c r="AE25" s="40">
        <f t="shared" si="11"/>
        <v>0</v>
      </c>
      <c r="AF25" s="40">
        <f t="shared" si="11"/>
        <v>0</v>
      </c>
      <c r="AG25" s="40">
        <f t="shared" si="11"/>
        <v>0</v>
      </c>
      <c r="AH25" s="40">
        <f t="shared" si="11"/>
        <v>0</v>
      </c>
    </row>
    <row r="26" spans="1:34" s="83" customFormat="1">
      <c r="A26" s="90" t="s">
        <v>175</v>
      </c>
      <c r="B26" s="90" t="s">
        <v>69</v>
      </c>
      <c r="C26" s="40"/>
      <c r="D26" s="43">
        <v>0</v>
      </c>
      <c r="E26" s="40">
        <f>D26*(1+Предположения!E$9)</f>
        <v>0</v>
      </c>
      <c r="F26" s="40">
        <f>E26*(1+Предположения!F$9)</f>
        <v>0</v>
      </c>
      <c r="G26" s="40">
        <f>F26*(1+Предположения!G$9)</f>
        <v>0</v>
      </c>
      <c r="H26" s="40">
        <f>G26*(1+Предположения!H$9)</f>
        <v>0</v>
      </c>
      <c r="I26" s="40">
        <f>H26*(1+Предположения!I$9)</f>
        <v>0</v>
      </c>
      <c r="J26" s="40">
        <f>I26*(1+Предположения!J$9)</f>
        <v>0</v>
      </c>
      <c r="K26" s="40">
        <f>J26*(1+Предположения!K$9)</f>
        <v>0</v>
      </c>
      <c r="L26" s="40">
        <f>K26*(1+Предположения!L$9)</f>
        <v>0</v>
      </c>
      <c r="M26" s="40">
        <f>L26*(1+Предположения!M$9)</f>
        <v>0</v>
      </c>
      <c r="N26" s="40">
        <f>M26*(1+Предположения!N$9)</f>
        <v>0</v>
      </c>
      <c r="O26" s="40">
        <f>N26*(1+Предположения!O$9)</f>
        <v>0</v>
      </c>
      <c r="P26" s="40">
        <f>O26*(1+Предположения!P$9)</f>
        <v>0</v>
      </c>
      <c r="Q26" s="40">
        <f>P26*(1+Предположения!Q$9)</f>
        <v>0</v>
      </c>
      <c r="R26" s="40">
        <f>Q26*(1+Предположения!R$9)</f>
        <v>0</v>
      </c>
      <c r="S26" s="40">
        <f>R26*(1+Предположения!S$9)</f>
        <v>0</v>
      </c>
      <c r="T26" s="40">
        <f>S26*(1+Предположения!T$9)</f>
        <v>0</v>
      </c>
      <c r="U26" s="40">
        <f>T26*(1+Предположения!U$9)</f>
        <v>0</v>
      </c>
      <c r="V26" s="40">
        <f>U26*(1+Предположения!V$9)</f>
        <v>0</v>
      </c>
      <c r="W26" s="40">
        <f>V26*(1+Предположения!W$9)</f>
        <v>0</v>
      </c>
      <c r="X26" s="40">
        <f>W26*(1+Предположения!X$9)</f>
        <v>0</v>
      </c>
      <c r="Y26" s="40">
        <f>X26*(1+Предположения!Y$9)</f>
        <v>0</v>
      </c>
      <c r="Z26" s="40">
        <f>Y26*(1+Предположения!Z$9)</f>
        <v>0</v>
      </c>
      <c r="AA26" s="40">
        <f>Z26*(1+Предположения!AA$9)</f>
        <v>0</v>
      </c>
      <c r="AC26" s="40">
        <f t="shared" si="10"/>
        <v>0</v>
      </c>
      <c r="AD26" s="40">
        <f t="shared" si="11"/>
        <v>0</v>
      </c>
      <c r="AE26" s="40">
        <f t="shared" si="11"/>
        <v>0</v>
      </c>
      <c r="AF26" s="40">
        <f t="shared" si="11"/>
        <v>0</v>
      </c>
      <c r="AG26" s="40">
        <f t="shared" si="11"/>
        <v>0</v>
      </c>
      <c r="AH26" s="40">
        <f t="shared" si="11"/>
        <v>0</v>
      </c>
    </row>
    <row r="27" spans="1:34" s="83" customFormat="1">
      <c r="A27" s="90" t="s">
        <v>176</v>
      </c>
      <c r="B27" s="90" t="s">
        <v>69</v>
      </c>
      <c r="C27" s="40"/>
      <c r="D27" s="43">
        <v>0</v>
      </c>
      <c r="E27" s="40">
        <f>D27*(1+Предположения!E$9)</f>
        <v>0</v>
      </c>
      <c r="F27" s="40">
        <f>E27*(1+Предположения!F$9)</f>
        <v>0</v>
      </c>
      <c r="G27" s="40">
        <f>F27*(1+Предположения!G$9)</f>
        <v>0</v>
      </c>
      <c r="H27" s="40">
        <f>G27*(1+Предположения!H$9)</f>
        <v>0</v>
      </c>
      <c r="I27" s="40">
        <f>H27*(1+Предположения!I$9)</f>
        <v>0</v>
      </c>
      <c r="J27" s="40">
        <f>I27*(1+Предположения!J$9)</f>
        <v>0</v>
      </c>
      <c r="K27" s="40">
        <f>J27*(1+Предположения!K$9)</f>
        <v>0</v>
      </c>
      <c r="L27" s="40">
        <f>K27*(1+Предположения!L$9)</f>
        <v>0</v>
      </c>
      <c r="M27" s="40">
        <f>L27*(1+Предположения!M$9)</f>
        <v>0</v>
      </c>
      <c r="N27" s="40">
        <f>M27*(1+Предположения!N$9)</f>
        <v>0</v>
      </c>
      <c r="O27" s="40">
        <f>N27*(1+Предположения!O$9)</f>
        <v>0</v>
      </c>
      <c r="P27" s="40">
        <f>O27*(1+Предположения!P$9)</f>
        <v>0</v>
      </c>
      <c r="Q27" s="40">
        <f>P27*(1+Предположения!Q$9)</f>
        <v>0</v>
      </c>
      <c r="R27" s="40">
        <f>Q27*(1+Предположения!R$9)</f>
        <v>0</v>
      </c>
      <c r="S27" s="40">
        <f>R27*(1+Предположения!S$9)</f>
        <v>0</v>
      </c>
      <c r="T27" s="40">
        <f>S27*(1+Предположения!T$9)</f>
        <v>0</v>
      </c>
      <c r="U27" s="40">
        <f>T27*(1+Предположения!U$9)</f>
        <v>0</v>
      </c>
      <c r="V27" s="40">
        <f>U27*(1+Предположения!V$9)</f>
        <v>0</v>
      </c>
      <c r="W27" s="40">
        <f>V27*(1+Предположения!W$9)</f>
        <v>0</v>
      </c>
      <c r="X27" s="40">
        <f>W27*(1+Предположения!X$9)</f>
        <v>0</v>
      </c>
      <c r="Y27" s="40">
        <f>X27*(1+Предположения!Y$9)</f>
        <v>0</v>
      </c>
      <c r="Z27" s="40">
        <f>Y27*(1+Предположения!Z$9)</f>
        <v>0</v>
      </c>
      <c r="AA27" s="40">
        <f>Z27*(1+Предположения!AA$9)</f>
        <v>0</v>
      </c>
      <c r="AC27" s="40">
        <f t="shared" si="10"/>
        <v>0</v>
      </c>
      <c r="AD27" s="40">
        <f t="shared" si="11"/>
        <v>0</v>
      </c>
      <c r="AE27" s="40">
        <f t="shared" si="11"/>
        <v>0</v>
      </c>
      <c r="AF27" s="40">
        <f t="shared" si="11"/>
        <v>0</v>
      </c>
      <c r="AG27" s="40">
        <f t="shared" si="11"/>
        <v>0</v>
      </c>
      <c r="AH27" s="40">
        <f t="shared" si="11"/>
        <v>0</v>
      </c>
    </row>
    <row r="28" spans="1:34" s="83" customFormat="1">
      <c r="A28" s="90" t="s">
        <v>177</v>
      </c>
      <c r="B28" s="90" t="s">
        <v>69</v>
      </c>
      <c r="C28" s="40"/>
      <c r="D28" s="43">
        <v>0</v>
      </c>
      <c r="E28" s="40">
        <f>D28*(1+Предположения!E$9)</f>
        <v>0</v>
      </c>
      <c r="F28" s="40">
        <f>E28*(1+Предположения!F$9)</f>
        <v>0</v>
      </c>
      <c r="G28" s="40">
        <f>F28*(1+Предположения!G$9)</f>
        <v>0</v>
      </c>
      <c r="H28" s="40">
        <f>G28*(1+Предположения!H$9)</f>
        <v>0</v>
      </c>
      <c r="I28" s="40">
        <f>H28*(1+Предположения!I$9)</f>
        <v>0</v>
      </c>
      <c r="J28" s="40">
        <f>I28*(1+Предположения!J$9)</f>
        <v>0</v>
      </c>
      <c r="K28" s="40">
        <f>J28*(1+Предположения!K$9)</f>
        <v>0</v>
      </c>
      <c r="L28" s="40">
        <f>K28*(1+Предположения!L$9)</f>
        <v>0</v>
      </c>
      <c r="M28" s="40">
        <f>L28*(1+Предположения!M$9)</f>
        <v>0</v>
      </c>
      <c r="N28" s="40">
        <f>M28*(1+Предположения!N$9)</f>
        <v>0</v>
      </c>
      <c r="O28" s="40">
        <f>N28*(1+Предположения!O$9)</f>
        <v>0</v>
      </c>
      <c r="P28" s="40">
        <f>O28*(1+Предположения!P$9)</f>
        <v>0</v>
      </c>
      <c r="Q28" s="40">
        <f>P28*(1+Предположения!Q$9)</f>
        <v>0</v>
      </c>
      <c r="R28" s="40">
        <f>Q28*(1+Предположения!R$9)</f>
        <v>0</v>
      </c>
      <c r="S28" s="40">
        <f>R28*(1+Предположения!S$9)</f>
        <v>0</v>
      </c>
      <c r="T28" s="40">
        <f>S28*(1+Предположения!T$9)</f>
        <v>0</v>
      </c>
      <c r="U28" s="40">
        <f>T28*(1+Предположения!U$9)</f>
        <v>0</v>
      </c>
      <c r="V28" s="40">
        <f>U28*(1+Предположения!V$9)</f>
        <v>0</v>
      </c>
      <c r="W28" s="40">
        <f>V28*(1+Предположения!W$9)</f>
        <v>0</v>
      </c>
      <c r="X28" s="40">
        <f>W28*(1+Предположения!X$9)</f>
        <v>0</v>
      </c>
      <c r="Y28" s="40">
        <f>X28*(1+Предположения!Y$9)</f>
        <v>0</v>
      </c>
      <c r="Z28" s="40">
        <f>Y28*(1+Предположения!Z$9)</f>
        <v>0</v>
      </c>
      <c r="AA28" s="40">
        <f>Z28*(1+Предположения!AA$9)</f>
        <v>0</v>
      </c>
      <c r="AC28" s="40">
        <f t="shared" si="10"/>
        <v>0</v>
      </c>
      <c r="AD28" s="40">
        <f t="shared" si="11"/>
        <v>0</v>
      </c>
      <c r="AE28" s="40">
        <f t="shared" si="11"/>
        <v>0</v>
      </c>
      <c r="AF28" s="40">
        <f t="shared" si="11"/>
        <v>0</v>
      </c>
      <c r="AG28" s="40">
        <f t="shared" si="11"/>
        <v>0</v>
      </c>
      <c r="AH28" s="40">
        <f t="shared" si="11"/>
        <v>0</v>
      </c>
    </row>
    <row r="29" spans="1:34" s="83" customFormat="1">
      <c r="A29" s="90" t="s">
        <v>178</v>
      </c>
      <c r="B29" s="90" t="s">
        <v>69</v>
      </c>
      <c r="C29" s="40"/>
      <c r="D29" s="43">
        <v>0</v>
      </c>
      <c r="E29" s="40">
        <f>D29*(1+Предположения!E$9)</f>
        <v>0</v>
      </c>
      <c r="F29" s="40">
        <f>E29*(1+Предположения!F$9)</f>
        <v>0</v>
      </c>
      <c r="G29" s="40">
        <f>F29*(1+Предположения!G$9)</f>
        <v>0</v>
      </c>
      <c r="H29" s="40">
        <f>G29*(1+Предположения!H$9)</f>
        <v>0</v>
      </c>
      <c r="I29" s="40">
        <f>H29*(1+Предположения!I$9)</f>
        <v>0</v>
      </c>
      <c r="J29" s="40">
        <f>I29*(1+Предположения!J$9)</f>
        <v>0</v>
      </c>
      <c r="K29" s="40">
        <f>J29*(1+Предположения!K$9)</f>
        <v>0</v>
      </c>
      <c r="L29" s="40">
        <f>K29*(1+Предположения!L$9)</f>
        <v>0</v>
      </c>
      <c r="M29" s="40">
        <f>L29*(1+Предположения!M$9)</f>
        <v>0</v>
      </c>
      <c r="N29" s="40">
        <f>M29*(1+Предположения!N$9)</f>
        <v>0</v>
      </c>
      <c r="O29" s="40">
        <f>N29*(1+Предположения!O$9)</f>
        <v>0</v>
      </c>
      <c r="P29" s="40">
        <f>O29*(1+Предположения!P$9)</f>
        <v>0</v>
      </c>
      <c r="Q29" s="40">
        <f>P29*(1+Предположения!Q$9)</f>
        <v>0</v>
      </c>
      <c r="R29" s="40">
        <f>Q29*(1+Предположения!R$9)</f>
        <v>0</v>
      </c>
      <c r="S29" s="40">
        <f>R29*(1+Предположения!S$9)</f>
        <v>0</v>
      </c>
      <c r="T29" s="40">
        <f>S29*(1+Предположения!T$9)</f>
        <v>0</v>
      </c>
      <c r="U29" s="40">
        <f>T29*(1+Предположения!U$9)</f>
        <v>0</v>
      </c>
      <c r="V29" s="40">
        <f>U29*(1+Предположения!V$9)</f>
        <v>0</v>
      </c>
      <c r="W29" s="40">
        <f>V29*(1+Предположения!W$9)</f>
        <v>0</v>
      </c>
      <c r="X29" s="40">
        <f>W29*(1+Предположения!X$9)</f>
        <v>0</v>
      </c>
      <c r="Y29" s="40">
        <f>X29*(1+Предположения!Y$9)</f>
        <v>0</v>
      </c>
      <c r="Z29" s="40">
        <f>Y29*(1+Предположения!Z$9)</f>
        <v>0</v>
      </c>
      <c r="AA29" s="40">
        <f>Z29*(1+Предположения!AA$9)</f>
        <v>0</v>
      </c>
      <c r="AC29" s="40">
        <f t="shared" si="10"/>
        <v>0</v>
      </c>
      <c r="AD29" s="40">
        <f t="shared" si="11"/>
        <v>0</v>
      </c>
      <c r="AE29" s="40">
        <f t="shared" si="11"/>
        <v>0</v>
      </c>
      <c r="AF29" s="40">
        <f t="shared" si="11"/>
        <v>0</v>
      </c>
      <c r="AG29" s="40">
        <f t="shared" si="11"/>
        <v>0</v>
      </c>
      <c r="AH29" s="40">
        <f t="shared" si="11"/>
        <v>0</v>
      </c>
    </row>
    <row r="30" spans="1:34" s="83" customFormat="1">
      <c r="A30" s="90" t="s">
        <v>179</v>
      </c>
      <c r="B30" s="90" t="s">
        <v>69</v>
      </c>
      <c r="C30" s="40"/>
      <c r="D30" s="43">
        <v>0</v>
      </c>
      <c r="E30" s="40">
        <f>D30*(1+Предположения!E$9)</f>
        <v>0</v>
      </c>
      <c r="F30" s="40">
        <f>E30*(1+Предположения!F$9)</f>
        <v>0</v>
      </c>
      <c r="G30" s="40">
        <f>F30*(1+Предположения!G$9)</f>
        <v>0</v>
      </c>
      <c r="H30" s="40">
        <f>G30*(1+Предположения!H$9)</f>
        <v>0</v>
      </c>
      <c r="I30" s="40">
        <f>H30*(1+Предположения!I$9)</f>
        <v>0</v>
      </c>
      <c r="J30" s="40">
        <f>I30*(1+Предположения!J$9)</f>
        <v>0</v>
      </c>
      <c r="K30" s="40">
        <f>J30*(1+Предположения!K$9)</f>
        <v>0</v>
      </c>
      <c r="L30" s="40">
        <f>K30*(1+Предположения!L$9)</f>
        <v>0</v>
      </c>
      <c r="M30" s="40">
        <f>L30*(1+Предположения!M$9)</f>
        <v>0</v>
      </c>
      <c r="N30" s="40">
        <f>M30*(1+Предположения!N$9)</f>
        <v>0</v>
      </c>
      <c r="O30" s="40">
        <f>N30*(1+Предположения!O$9)</f>
        <v>0</v>
      </c>
      <c r="P30" s="40">
        <f>O30*(1+Предположения!P$9)</f>
        <v>0</v>
      </c>
      <c r="Q30" s="40">
        <f>P30*(1+Предположения!Q$9)</f>
        <v>0</v>
      </c>
      <c r="R30" s="40">
        <f>Q30*(1+Предположения!R$9)</f>
        <v>0</v>
      </c>
      <c r="S30" s="40">
        <f>R30*(1+Предположения!S$9)</f>
        <v>0</v>
      </c>
      <c r="T30" s="40">
        <f>S30*(1+Предположения!T$9)</f>
        <v>0</v>
      </c>
      <c r="U30" s="40">
        <f>T30*(1+Предположения!U$9)</f>
        <v>0</v>
      </c>
      <c r="V30" s="40">
        <f>U30*(1+Предположения!V$9)</f>
        <v>0</v>
      </c>
      <c r="W30" s="40">
        <f>V30*(1+Предположения!W$9)</f>
        <v>0</v>
      </c>
      <c r="X30" s="40">
        <f>W30*(1+Предположения!X$9)</f>
        <v>0</v>
      </c>
      <c r="Y30" s="40">
        <f>X30*(1+Предположения!Y$9)</f>
        <v>0</v>
      </c>
      <c r="Z30" s="40">
        <f>Y30*(1+Предположения!Z$9)</f>
        <v>0</v>
      </c>
      <c r="AA30" s="40">
        <f>Z30*(1+Предположения!AA$9)</f>
        <v>0</v>
      </c>
      <c r="AC30" s="40">
        <f t="shared" si="10"/>
        <v>0</v>
      </c>
      <c r="AD30" s="40">
        <f t="shared" si="11"/>
        <v>0</v>
      </c>
      <c r="AE30" s="40">
        <f t="shared" si="11"/>
        <v>0</v>
      </c>
      <c r="AF30" s="40">
        <f t="shared" si="11"/>
        <v>0</v>
      </c>
      <c r="AG30" s="40">
        <f t="shared" si="11"/>
        <v>0</v>
      </c>
      <c r="AH30" s="40">
        <f t="shared" si="11"/>
        <v>0</v>
      </c>
    </row>
    <row r="31" spans="1:34" s="83" customFormat="1">
      <c r="A31" s="90" t="s">
        <v>180</v>
      </c>
      <c r="B31" s="90" t="s">
        <v>69</v>
      </c>
      <c r="C31" s="40"/>
      <c r="D31" s="43">
        <v>0</v>
      </c>
      <c r="E31" s="40">
        <f>D31*(1+Предположения!E$9)</f>
        <v>0</v>
      </c>
      <c r="F31" s="40">
        <f>E31*(1+Предположения!F$9)</f>
        <v>0</v>
      </c>
      <c r="G31" s="40">
        <f>F31*(1+Предположения!G$9)</f>
        <v>0</v>
      </c>
      <c r="H31" s="40">
        <f>G31*(1+Предположения!H$9)</f>
        <v>0</v>
      </c>
      <c r="I31" s="40">
        <f>H31*(1+Предположения!I$9)</f>
        <v>0</v>
      </c>
      <c r="J31" s="40">
        <f>I31*(1+Предположения!J$9)</f>
        <v>0</v>
      </c>
      <c r="K31" s="40">
        <f>J31*(1+Предположения!K$9)</f>
        <v>0</v>
      </c>
      <c r="L31" s="40">
        <f>K31*(1+Предположения!L$9)</f>
        <v>0</v>
      </c>
      <c r="M31" s="40">
        <f>L31*(1+Предположения!M$9)</f>
        <v>0</v>
      </c>
      <c r="N31" s="40">
        <f>M31*(1+Предположения!N$9)</f>
        <v>0</v>
      </c>
      <c r="O31" s="40">
        <f>N31*(1+Предположения!O$9)</f>
        <v>0</v>
      </c>
      <c r="P31" s="40">
        <f>O31*(1+Предположения!P$9)</f>
        <v>0</v>
      </c>
      <c r="Q31" s="40">
        <f>P31*(1+Предположения!Q$9)</f>
        <v>0</v>
      </c>
      <c r="R31" s="40">
        <f>Q31*(1+Предположения!R$9)</f>
        <v>0</v>
      </c>
      <c r="S31" s="40">
        <f>R31*(1+Предположения!S$9)</f>
        <v>0</v>
      </c>
      <c r="T31" s="40">
        <f>S31*(1+Предположения!T$9)</f>
        <v>0</v>
      </c>
      <c r="U31" s="40">
        <f>T31*(1+Предположения!U$9)</f>
        <v>0</v>
      </c>
      <c r="V31" s="40">
        <f>U31*(1+Предположения!V$9)</f>
        <v>0</v>
      </c>
      <c r="W31" s="40">
        <f>V31*(1+Предположения!W$9)</f>
        <v>0</v>
      </c>
      <c r="X31" s="40">
        <f>W31*(1+Предположения!X$9)</f>
        <v>0</v>
      </c>
      <c r="Y31" s="40">
        <f>X31*(1+Предположения!Y$9)</f>
        <v>0</v>
      </c>
      <c r="Z31" s="40">
        <f>Y31*(1+Предположения!Z$9)</f>
        <v>0</v>
      </c>
      <c r="AA31" s="40">
        <f>Z31*(1+Предположения!AA$9)</f>
        <v>0</v>
      </c>
      <c r="AC31" s="40">
        <f t="shared" si="10"/>
        <v>0</v>
      </c>
      <c r="AD31" s="40">
        <f t="shared" si="11"/>
        <v>0</v>
      </c>
      <c r="AE31" s="40">
        <f t="shared" si="11"/>
        <v>0</v>
      </c>
      <c r="AF31" s="40">
        <f t="shared" si="11"/>
        <v>0</v>
      </c>
      <c r="AG31" s="40">
        <f t="shared" si="11"/>
        <v>0</v>
      </c>
      <c r="AH31" s="40">
        <f t="shared" si="11"/>
        <v>0</v>
      </c>
    </row>
    <row r="32" spans="1:34">
      <c r="A32" s="73" t="s">
        <v>184</v>
      </c>
      <c r="B32" s="73" t="s">
        <v>96</v>
      </c>
      <c r="C32" s="74"/>
      <c r="D32" s="74">
        <f t="shared" ref="D32:W32" si="12">(SUMPRODUCT(D21:D23,D9:D11)+SUMPRODUCT(D24:D31,D12:D19))/1000</f>
        <v>0</v>
      </c>
      <c r="E32" s="74">
        <f t="shared" si="12"/>
        <v>0</v>
      </c>
      <c r="F32" s="74">
        <f t="shared" si="12"/>
        <v>0</v>
      </c>
      <c r="G32" s="74">
        <f t="shared" si="12"/>
        <v>0</v>
      </c>
      <c r="H32" s="74">
        <f t="shared" si="12"/>
        <v>0</v>
      </c>
      <c r="I32" s="74">
        <f t="shared" si="12"/>
        <v>0</v>
      </c>
      <c r="J32" s="74">
        <f t="shared" si="12"/>
        <v>0</v>
      </c>
      <c r="K32" s="74">
        <f t="shared" si="12"/>
        <v>0</v>
      </c>
      <c r="L32" s="74">
        <f t="shared" si="12"/>
        <v>0</v>
      </c>
      <c r="M32" s="74">
        <f t="shared" si="12"/>
        <v>0</v>
      </c>
      <c r="N32" s="74">
        <f t="shared" si="12"/>
        <v>0</v>
      </c>
      <c r="O32" s="74">
        <f t="shared" si="12"/>
        <v>0</v>
      </c>
      <c r="P32" s="74">
        <f t="shared" si="12"/>
        <v>0</v>
      </c>
      <c r="Q32" s="74">
        <f t="shared" si="12"/>
        <v>0</v>
      </c>
      <c r="R32" s="74">
        <f t="shared" si="12"/>
        <v>0</v>
      </c>
      <c r="S32" s="74">
        <f t="shared" si="12"/>
        <v>0</v>
      </c>
      <c r="T32" s="74">
        <f t="shared" si="12"/>
        <v>0</v>
      </c>
      <c r="U32" s="74">
        <f t="shared" si="12"/>
        <v>0</v>
      </c>
      <c r="V32" s="74">
        <f t="shared" si="12"/>
        <v>0</v>
      </c>
      <c r="W32" s="74">
        <f t="shared" si="12"/>
        <v>0</v>
      </c>
      <c r="X32" s="74">
        <f t="shared" ref="X32:AA32" si="13">(SUMPRODUCT(X21:X23,X9:X11)+SUMPRODUCT(X24:X31,X12:X19))/1000</f>
        <v>0</v>
      </c>
      <c r="Y32" s="74">
        <f t="shared" si="13"/>
        <v>0</v>
      </c>
      <c r="Z32" s="74">
        <f t="shared" si="13"/>
        <v>0</v>
      </c>
      <c r="AA32" s="74">
        <f t="shared" si="13"/>
        <v>0</v>
      </c>
      <c r="AC32" s="74">
        <f t="shared" ref="AC32:AH58" si="14">SUMIF($D$4:$AA$4,AC$5,$D32:$AA32)</f>
        <v>0</v>
      </c>
      <c r="AD32" s="74">
        <f t="shared" si="14"/>
        <v>0</v>
      </c>
      <c r="AE32" s="74">
        <f t="shared" si="14"/>
        <v>0</v>
      </c>
      <c r="AF32" s="74">
        <f t="shared" si="14"/>
        <v>0</v>
      </c>
      <c r="AG32" s="74">
        <f t="shared" si="14"/>
        <v>0</v>
      </c>
      <c r="AH32" s="74">
        <f t="shared" si="14"/>
        <v>0</v>
      </c>
    </row>
    <row r="33" spans="1:34">
      <c r="A33" s="39" t="s">
        <v>185</v>
      </c>
      <c r="B33" s="90" t="s">
        <v>96</v>
      </c>
      <c r="C33" s="40">
        <f>C32*Предположения!C$14</f>
        <v>0</v>
      </c>
      <c r="D33" s="40">
        <f>D32*Предположения!D$14</f>
        <v>0</v>
      </c>
      <c r="E33" s="40">
        <f>E32*Предположения!E$14</f>
        <v>0</v>
      </c>
      <c r="F33" s="40">
        <f>F32*Предположения!F$14</f>
        <v>0</v>
      </c>
      <c r="G33" s="40">
        <f>G32*Предположения!G$14</f>
        <v>0</v>
      </c>
      <c r="H33" s="40">
        <f>H32*Предположения!H$14</f>
        <v>0</v>
      </c>
      <c r="I33" s="40">
        <f>I32*Предположения!I$14</f>
        <v>0</v>
      </c>
      <c r="J33" s="40">
        <f>J32*Предположения!J$14</f>
        <v>0</v>
      </c>
      <c r="K33" s="40">
        <f>K32*Предположения!K$14</f>
        <v>0</v>
      </c>
      <c r="L33" s="40">
        <f>L32*Предположения!L$14</f>
        <v>0</v>
      </c>
      <c r="M33" s="40">
        <f>M32*Предположения!M$14</f>
        <v>0</v>
      </c>
      <c r="N33" s="40">
        <f>N32*Предположения!N$14</f>
        <v>0</v>
      </c>
      <c r="O33" s="40">
        <f>O32*Предположения!O$14</f>
        <v>0</v>
      </c>
      <c r="P33" s="40">
        <f>P32*Предположения!P$14</f>
        <v>0</v>
      </c>
      <c r="Q33" s="40">
        <f>Q32*Предположения!Q$14</f>
        <v>0</v>
      </c>
      <c r="R33" s="40">
        <f>R32*Предположения!R$14</f>
        <v>0</v>
      </c>
      <c r="S33" s="40">
        <f>S32*Предположения!S$14</f>
        <v>0</v>
      </c>
      <c r="T33" s="40">
        <f>T32*Предположения!T$14</f>
        <v>0</v>
      </c>
      <c r="U33" s="40">
        <f>U32*Предположения!U$14</f>
        <v>0</v>
      </c>
      <c r="V33" s="40">
        <f>V32*Предположения!V$14</f>
        <v>0</v>
      </c>
      <c r="W33" s="40">
        <f>W32*Предположения!W$14</f>
        <v>0</v>
      </c>
      <c r="X33" s="40">
        <f>X32*Предположения!X$14</f>
        <v>0</v>
      </c>
      <c r="Y33" s="40">
        <f>Y32*Предположения!Y$14</f>
        <v>0</v>
      </c>
      <c r="Z33" s="40">
        <f>Z32*Предположения!Z$14</f>
        <v>0</v>
      </c>
      <c r="AA33" s="40">
        <f>AA32*Предположения!AA$14</f>
        <v>0</v>
      </c>
      <c r="AC33" s="40">
        <f t="shared" si="14"/>
        <v>0</v>
      </c>
      <c r="AD33" s="40">
        <f t="shared" si="14"/>
        <v>0</v>
      </c>
      <c r="AE33" s="40">
        <f t="shared" si="14"/>
        <v>0</v>
      </c>
      <c r="AF33" s="40">
        <f t="shared" si="14"/>
        <v>0</v>
      </c>
      <c r="AG33" s="40">
        <f t="shared" si="14"/>
        <v>0</v>
      </c>
      <c r="AH33" s="40">
        <f t="shared" si="14"/>
        <v>0</v>
      </c>
    </row>
    <row r="34" spans="1:34" ht="8.25" customHeight="1">
      <c r="A34" s="38"/>
      <c r="B34" s="38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C34" s="75"/>
      <c r="AD34" s="75"/>
      <c r="AE34" s="75"/>
      <c r="AF34" s="75"/>
      <c r="AG34" s="75"/>
      <c r="AH34" s="75"/>
    </row>
    <row r="35" spans="1:34">
      <c r="A35" s="90" t="s">
        <v>186</v>
      </c>
      <c r="B35" s="90" t="s">
        <v>49</v>
      </c>
      <c r="D35" s="45">
        <v>0.2</v>
      </c>
    </row>
    <row r="36" spans="1:34">
      <c r="A36" s="90" t="s">
        <v>187</v>
      </c>
      <c r="B36" s="90" t="s">
        <v>49</v>
      </c>
      <c r="D36" s="45">
        <f>1/4</f>
        <v>0.25</v>
      </c>
    </row>
    <row r="38" spans="1:34">
      <c r="A38" s="96" t="s">
        <v>188</v>
      </c>
      <c r="B38" s="96" t="s">
        <v>49</v>
      </c>
      <c r="C38" s="97"/>
      <c r="D38" s="97"/>
      <c r="E38" s="97">
        <f>SUMPRODUCT($E$9:$E$19,$E$21:$E$31,$C$9:$C$19)/1000*E$6</f>
        <v>0</v>
      </c>
      <c r="F38" s="97">
        <f t="shared" ref="F38:AA38" si="15">SUMPRODUCT($E$9:$E$19,$E$21:$E$31,$C$9:$C$19)/1000*F$6</f>
        <v>0</v>
      </c>
      <c r="G38" s="97">
        <f t="shared" si="15"/>
        <v>0</v>
      </c>
      <c r="H38" s="97">
        <f t="shared" si="15"/>
        <v>0</v>
      </c>
      <c r="I38" s="97">
        <f t="shared" si="15"/>
        <v>0</v>
      </c>
      <c r="J38" s="97">
        <f t="shared" si="15"/>
        <v>0</v>
      </c>
      <c r="K38" s="97">
        <f t="shared" si="15"/>
        <v>0</v>
      </c>
      <c r="L38" s="97">
        <f t="shared" si="15"/>
        <v>0</v>
      </c>
      <c r="M38" s="97">
        <f t="shared" si="15"/>
        <v>0</v>
      </c>
      <c r="N38" s="97">
        <f t="shared" si="15"/>
        <v>0</v>
      </c>
      <c r="O38" s="97">
        <f t="shared" si="15"/>
        <v>0</v>
      </c>
      <c r="P38" s="97">
        <f t="shared" si="15"/>
        <v>0</v>
      </c>
      <c r="Q38" s="97">
        <f t="shared" si="15"/>
        <v>0</v>
      </c>
      <c r="R38" s="97">
        <f t="shared" si="15"/>
        <v>0</v>
      </c>
      <c r="S38" s="97">
        <f t="shared" si="15"/>
        <v>0</v>
      </c>
      <c r="T38" s="97">
        <f t="shared" si="15"/>
        <v>0</v>
      </c>
      <c r="U38" s="97">
        <f t="shared" si="15"/>
        <v>0</v>
      </c>
      <c r="V38" s="97">
        <f t="shared" si="15"/>
        <v>0</v>
      </c>
      <c r="W38" s="97">
        <f t="shared" si="15"/>
        <v>0</v>
      </c>
      <c r="X38" s="97">
        <f t="shared" si="15"/>
        <v>0</v>
      </c>
      <c r="Y38" s="97">
        <f t="shared" si="15"/>
        <v>0</v>
      </c>
      <c r="Z38" s="97">
        <f t="shared" si="15"/>
        <v>0</v>
      </c>
      <c r="AA38" s="97">
        <f t="shared" si="15"/>
        <v>0</v>
      </c>
      <c r="AC38" s="97">
        <f t="shared" si="14"/>
        <v>0</v>
      </c>
      <c r="AD38" s="97">
        <f t="shared" si="14"/>
        <v>0</v>
      </c>
      <c r="AE38" s="97">
        <f t="shared" si="14"/>
        <v>0</v>
      </c>
      <c r="AF38" s="97">
        <f t="shared" si="14"/>
        <v>0</v>
      </c>
      <c r="AG38" s="97">
        <f t="shared" si="14"/>
        <v>0</v>
      </c>
      <c r="AH38" s="97">
        <f t="shared" si="14"/>
        <v>0</v>
      </c>
    </row>
    <row r="39" spans="1:34">
      <c r="A39" s="96" t="s">
        <v>189</v>
      </c>
      <c r="B39" s="96" t="s">
        <v>96</v>
      </c>
      <c r="C39" s="97">
        <f>SUM($C$32:C32)-SUM($C$38:C38)</f>
        <v>0</v>
      </c>
      <c r="D39" s="97">
        <f>SUM($C$32:D32)-SUM($C$38:D38)</f>
        <v>0</v>
      </c>
      <c r="E39" s="97">
        <f>SUM($C$32:E32)-SUM($C$38:E38)</f>
        <v>0</v>
      </c>
      <c r="F39" s="97">
        <f>SUM($C$32:F32)-SUM($C$38:F38)</f>
        <v>0</v>
      </c>
      <c r="G39" s="97">
        <f>SUM($C$32:G32)-SUM($C$38:G38)</f>
        <v>0</v>
      </c>
      <c r="H39" s="97">
        <f>SUM($C$32:H32)-SUM($C$38:H38)</f>
        <v>0</v>
      </c>
      <c r="I39" s="97">
        <f>SUM($C$32:I32)-SUM($C$38:I38)</f>
        <v>0</v>
      </c>
      <c r="J39" s="97">
        <f>SUM($C$32:J32)-SUM($C$38:J38)</f>
        <v>0</v>
      </c>
      <c r="K39" s="97">
        <f>SUM($C$32:K32)-SUM($C$38:K38)</f>
        <v>0</v>
      </c>
      <c r="L39" s="97">
        <f>SUM($C$32:L32)-SUM($C$38:L38)</f>
        <v>0</v>
      </c>
      <c r="M39" s="97">
        <f>SUM($C$32:M32)-SUM($C$38:M38)</f>
        <v>0</v>
      </c>
      <c r="N39" s="97">
        <f>SUM($C$32:N32)-SUM($C$38:N38)</f>
        <v>0</v>
      </c>
      <c r="O39" s="97">
        <f>SUM($C$32:O32)-SUM($C$38:O38)</f>
        <v>0</v>
      </c>
      <c r="P39" s="97">
        <f>SUM($C$32:P32)-SUM($C$38:P38)</f>
        <v>0</v>
      </c>
      <c r="Q39" s="97">
        <f>SUM($C$32:Q32)-SUM($C$38:Q38)</f>
        <v>0</v>
      </c>
      <c r="R39" s="97">
        <f>SUM($C$32:R32)-SUM($C$38:R38)</f>
        <v>0</v>
      </c>
      <c r="S39" s="97">
        <f>SUM($C$32:S32)-SUM($C$38:S38)</f>
        <v>0</v>
      </c>
      <c r="T39" s="97">
        <f>SUM($C$32:T32)-SUM($C$38:T38)</f>
        <v>0</v>
      </c>
      <c r="U39" s="97">
        <f>SUM($C$32:U32)-SUM($C$38:U38)</f>
        <v>0</v>
      </c>
      <c r="V39" s="97">
        <f>SUM($C$32:V32)-SUM($C$38:V38)</f>
        <v>0</v>
      </c>
      <c r="W39" s="97">
        <f>SUM($C$32:W32)-SUM($C$38:W38)</f>
        <v>0</v>
      </c>
      <c r="X39" s="97">
        <f>SUM($C$32:X32)-SUM($C$38:X38)</f>
        <v>0</v>
      </c>
      <c r="Y39" s="97">
        <f>SUM($C$32:Y32)-SUM($C$38:Y38)</f>
        <v>0</v>
      </c>
      <c r="Z39" s="97">
        <f>SUM($C$32:Z32)-SUM($C$38:Z38)</f>
        <v>0</v>
      </c>
      <c r="AA39" s="97">
        <f>SUM($C$32:AA32)-SUM($C$38:AA38)</f>
        <v>0</v>
      </c>
      <c r="AC39" s="97">
        <f t="shared" si="14"/>
        <v>0</v>
      </c>
      <c r="AD39" s="97">
        <f t="shared" si="14"/>
        <v>0</v>
      </c>
      <c r="AE39" s="97">
        <f t="shared" si="14"/>
        <v>0</v>
      </c>
      <c r="AF39" s="97">
        <f t="shared" si="14"/>
        <v>0</v>
      </c>
      <c r="AG39" s="97">
        <f t="shared" si="14"/>
        <v>0</v>
      </c>
      <c r="AH39" s="97">
        <f t="shared" si="14"/>
        <v>0</v>
      </c>
    </row>
    <row r="40" spans="1:34">
      <c r="A40" s="40"/>
      <c r="B40" s="40"/>
    </row>
    <row r="41" spans="1:34">
      <c r="A41" s="93" t="s">
        <v>190</v>
      </c>
      <c r="B41" s="94"/>
      <c r="C41" s="21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C41" s="67"/>
      <c r="AD41" s="67"/>
      <c r="AE41" s="67"/>
      <c r="AF41" s="67"/>
      <c r="AG41" s="67"/>
      <c r="AH41" s="67"/>
    </row>
    <row r="42" spans="1:34">
      <c r="A42" s="90" t="str">
        <f>Затраты!A35</f>
        <v>Затраты на комплектующие и упаковку</v>
      </c>
      <c r="B42" s="90" t="s">
        <v>96</v>
      </c>
      <c r="D42" s="90"/>
      <c r="E42" s="90">
        <f>Затраты!E40</f>
        <v>0</v>
      </c>
      <c r="F42" s="90">
        <f>Затраты!F40</f>
        <v>39.12912879702538</v>
      </c>
      <c r="G42" s="90">
        <f>Затраты!G40</f>
        <v>0</v>
      </c>
      <c r="H42" s="90"/>
      <c r="AC42" s="40">
        <f t="shared" si="14"/>
        <v>39.12912879702538</v>
      </c>
      <c r="AD42" s="40">
        <f t="shared" si="14"/>
        <v>0</v>
      </c>
      <c r="AE42" s="40">
        <f t="shared" si="14"/>
        <v>0</v>
      </c>
      <c r="AF42" s="40">
        <f t="shared" si="14"/>
        <v>0</v>
      </c>
      <c r="AG42" s="40">
        <f t="shared" si="14"/>
        <v>0</v>
      </c>
      <c r="AH42" s="40">
        <f t="shared" si="14"/>
        <v>0</v>
      </c>
    </row>
    <row r="43" spans="1:34">
      <c r="A43" s="90" t="str">
        <f>Затраты!A43</f>
        <v>Затраты на логистику</v>
      </c>
      <c r="B43" s="90" t="s">
        <v>96</v>
      </c>
      <c r="D43" s="90"/>
      <c r="E43" s="90">
        <f>Затраты!E43</f>
        <v>0</v>
      </c>
      <c r="F43" s="90">
        <f>Затраты!F43</f>
        <v>0</v>
      </c>
      <c r="G43" s="90">
        <f>Затраты!G43</f>
        <v>0</v>
      </c>
      <c r="H43" s="90"/>
      <c r="AC43" s="40">
        <f t="shared" si="14"/>
        <v>0</v>
      </c>
      <c r="AD43" s="40">
        <f t="shared" si="14"/>
        <v>0</v>
      </c>
      <c r="AE43" s="40">
        <f t="shared" si="14"/>
        <v>0</v>
      </c>
      <c r="AF43" s="40">
        <f t="shared" si="14"/>
        <v>0</v>
      </c>
      <c r="AG43" s="40">
        <f t="shared" si="14"/>
        <v>0</v>
      </c>
      <c r="AH43" s="40">
        <f t="shared" si="14"/>
        <v>0</v>
      </c>
    </row>
    <row r="44" spans="1:34">
      <c r="A44" s="90" t="s">
        <v>191</v>
      </c>
      <c r="B44" s="90" t="s">
        <v>96</v>
      </c>
      <c r="D44" s="90"/>
      <c r="E44" s="90">
        <f>SUM(Затраты!E44,Затраты!E50,Затраты!E57)</f>
        <v>1142.5050000000001</v>
      </c>
      <c r="F44" s="90">
        <f>SUM(Затраты!F44,Затраты!F50,Затраты!F57)</f>
        <v>1142.5050000000001</v>
      </c>
      <c r="G44" s="90">
        <f>SUM(Затраты!G44,Затраты!G50,Затраты!G57)</f>
        <v>1142.5050000000001</v>
      </c>
      <c r="H44" s="90"/>
      <c r="AC44" s="40">
        <f t="shared" si="14"/>
        <v>3427.5150000000003</v>
      </c>
      <c r="AD44" s="40">
        <f t="shared" si="14"/>
        <v>0</v>
      </c>
      <c r="AE44" s="40">
        <f t="shared" si="14"/>
        <v>0</v>
      </c>
      <c r="AF44" s="40">
        <f t="shared" si="14"/>
        <v>0</v>
      </c>
      <c r="AG44" s="40">
        <f t="shared" si="14"/>
        <v>0</v>
      </c>
      <c r="AH44" s="40">
        <f t="shared" si="14"/>
        <v>0</v>
      </c>
    </row>
    <row r="45" spans="1:34">
      <c r="A45" s="90" t="str">
        <f>Предположения!A78</f>
        <v>Прочие переменные затраты (% от выручки)</v>
      </c>
      <c r="B45" s="90" t="s">
        <v>96</v>
      </c>
      <c r="E45" s="40">
        <f>Затраты!E45</f>
        <v>0</v>
      </c>
      <c r="F45" s="40">
        <f>Затраты!F45</f>
        <v>0.86953619548945305</v>
      </c>
      <c r="G45" s="40">
        <f>Затраты!G45</f>
        <v>0</v>
      </c>
      <c r="AC45" s="40">
        <f t="shared" si="14"/>
        <v>0.86953619548945305</v>
      </c>
      <c r="AD45" s="40">
        <f t="shared" si="14"/>
        <v>0</v>
      </c>
      <c r="AE45" s="40">
        <f t="shared" si="14"/>
        <v>0</v>
      </c>
      <c r="AF45" s="40">
        <f t="shared" si="14"/>
        <v>0</v>
      </c>
      <c r="AG45" s="40">
        <f t="shared" si="14"/>
        <v>0</v>
      </c>
      <c r="AH45" s="40">
        <f t="shared" si="14"/>
        <v>0</v>
      </c>
    </row>
    <row r="46" spans="1:34">
      <c r="AC46" s="40">
        <f t="shared" si="14"/>
        <v>0</v>
      </c>
      <c r="AD46" s="40">
        <f t="shared" si="14"/>
        <v>0</v>
      </c>
      <c r="AE46" s="40">
        <f t="shared" si="14"/>
        <v>0</v>
      </c>
      <c r="AF46" s="40">
        <f t="shared" si="14"/>
        <v>0</v>
      </c>
      <c r="AG46" s="40">
        <f t="shared" si="14"/>
        <v>0</v>
      </c>
      <c r="AH46" s="40">
        <f t="shared" si="14"/>
        <v>0</v>
      </c>
    </row>
    <row r="47" spans="1:34">
      <c r="A47" s="90" t="str">
        <f>Затраты!A49</f>
        <v>Командировки</v>
      </c>
      <c r="B47" s="90" t="s">
        <v>96</v>
      </c>
      <c r="E47" s="40">
        <f>Затраты!E49</f>
        <v>0</v>
      </c>
      <c r="F47" s="40">
        <f>Затраты!F49</f>
        <v>0</v>
      </c>
      <c r="G47" s="40">
        <f>Затраты!G49</f>
        <v>0</v>
      </c>
      <c r="AC47" s="40">
        <f t="shared" si="14"/>
        <v>0</v>
      </c>
      <c r="AD47" s="40">
        <f t="shared" si="14"/>
        <v>0</v>
      </c>
      <c r="AE47" s="40">
        <f t="shared" si="14"/>
        <v>0</v>
      </c>
      <c r="AF47" s="40">
        <f t="shared" si="14"/>
        <v>0</v>
      </c>
      <c r="AG47" s="40">
        <f t="shared" si="14"/>
        <v>0</v>
      </c>
      <c r="AH47" s="40">
        <f t="shared" si="14"/>
        <v>0</v>
      </c>
    </row>
    <row r="48" spans="1:34">
      <c r="A48" s="90" t="str">
        <f>Затраты!A51</f>
        <v>Расходы на маркетинг</v>
      </c>
      <c r="E48" s="40">
        <f>Затраты!E51</f>
        <v>10.375782490910947</v>
      </c>
      <c r="F48" s="40">
        <f>Затраты!F51</f>
        <v>10.765686229869418</v>
      </c>
      <c r="G48" s="40">
        <f>Затраты!G51</f>
        <v>11.17024186865202</v>
      </c>
      <c r="AC48" s="40">
        <f t="shared" si="14"/>
        <v>32.311710589432387</v>
      </c>
      <c r="AD48" s="40">
        <f t="shared" si="14"/>
        <v>0</v>
      </c>
      <c r="AE48" s="40">
        <f t="shared" si="14"/>
        <v>0</v>
      </c>
      <c r="AF48" s="40">
        <f t="shared" si="14"/>
        <v>0</v>
      </c>
      <c r="AG48" s="40">
        <f t="shared" si="14"/>
        <v>0</v>
      </c>
      <c r="AH48" s="40">
        <f t="shared" si="14"/>
        <v>0</v>
      </c>
    </row>
    <row r="49" spans="1:34">
      <c r="D49" s="90"/>
      <c r="AC49" s="40">
        <f t="shared" si="14"/>
        <v>0</v>
      </c>
      <c r="AD49" s="40">
        <f t="shared" si="14"/>
        <v>0</v>
      </c>
      <c r="AE49" s="40">
        <f t="shared" si="14"/>
        <v>0</v>
      </c>
      <c r="AF49" s="40">
        <f t="shared" si="14"/>
        <v>0</v>
      </c>
      <c r="AG49" s="40">
        <f t="shared" si="14"/>
        <v>0</v>
      </c>
      <c r="AH49" s="40">
        <f t="shared" si="14"/>
        <v>0</v>
      </c>
    </row>
    <row r="50" spans="1:34">
      <c r="A50" s="90" t="str">
        <f>Затраты!A59</f>
        <v>Налог на имущество</v>
      </c>
      <c r="B50" s="90" t="s">
        <v>96</v>
      </c>
      <c r="D50" s="90"/>
      <c r="E50" s="90">
        <f>Затраты!E59</f>
        <v>0</v>
      </c>
      <c r="F50" s="90">
        <f>Затраты!F59</f>
        <v>0</v>
      </c>
      <c r="G50" s="90">
        <f>Затраты!G59</f>
        <v>0</v>
      </c>
      <c r="H50" s="90"/>
      <c r="AC50" s="40">
        <f t="shared" si="14"/>
        <v>0</v>
      </c>
      <c r="AD50" s="40">
        <f t="shared" si="14"/>
        <v>0</v>
      </c>
      <c r="AE50" s="40">
        <f t="shared" si="14"/>
        <v>0</v>
      </c>
      <c r="AF50" s="40">
        <f t="shared" si="14"/>
        <v>0</v>
      </c>
      <c r="AG50" s="40">
        <f t="shared" si="14"/>
        <v>0</v>
      </c>
      <c r="AH50" s="40">
        <f t="shared" si="14"/>
        <v>0</v>
      </c>
    </row>
    <row r="51" spans="1:34">
      <c r="A51" s="90" t="str">
        <f>Затраты!A60</f>
        <v>Аренда офиса</v>
      </c>
      <c r="B51" s="90" t="s">
        <v>96</v>
      </c>
      <c r="D51" s="90"/>
      <c r="E51" s="90">
        <f>Затраты!E60</f>
        <v>0</v>
      </c>
      <c r="F51" s="90">
        <f>Затраты!F60</f>
        <v>0</v>
      </c>
      <c r="G51" s="90">
        <f>Затраты!G60</f>
        <v>0</v>
      </c>
      <c r="H51" s="90"/>
      <c r="AC51" s="40">
        <f t="shared" si="14"/>
        <v>0</v>
      </c>
      <c r="AD51" s="40">
        <f t="shared" si="14"/>
        <v>0</v>
      </c>
      <c r="AE51" s="40">
        <f t="shared" si="14"/>
        <v>0</v>
      </c>
      <c r="AF51" s="40">
        <f t="shared" si="14"/>
        <v>0</v>
      </c>
      <c r="AG51" s="40">
        <f t="shared" si="14"/>
        <v>0</v>
      </c>
      <c r="AH51" s="40">
        <f t="shared" si="14"/>
        <v>0</v>
      </c>
    </row>
    <row r="52" spans="1:34">
      <c r="A52" s="90" t="str">
        <f>Затраты!A63</f>
        <v>Прочие административные расходы</v>
      </c>
      <c r="B52" s="90" t="s">
        <v>96</v>
      </c>
      <c r="D52" s="90"/>
      <c r="E52" s="90">
        <f>Затраты!E63</f>
        <v>0</v>
      </c>
      <c r="F52" s="90">
        <f>Затраты!F63</f>
        <v>0.43476809774472652</v>
      </c>
      <c r="G52" s="90">
        <f>Затраты!G63</f>
        <v>0</v>
      </c>
      <c r="H52" s="90"/>
      <c r="AC52" s="40">
        <f t="shared" si="14"/>
        <v>0.43476809774472652</v>
      </c>
      <c r="AD52" s="40">
        <f t="shared" si="14"/>
        <v>0</v>
      </c>
      <c r="AE52" s="40">
        <f t="shared" si="14"/>
        <v>0</v>
      </c>
      <c r="AF52" s="40">
        <f t="shared" si="14"/>
        <v>0</v>
      </c>
      <c r="AG52" s="40">
        <f t="shared" si="14"/>
        <v>0</v>
      </c>
      <c r="AH52" s="40">
        <f t="shared" si="14"/>
        <v>0</v>
      </c>
    </row>
    <row r="53" spans="1:34">
      <c r="A53" s="73" t="s">
        <v>192</v>
      </c>
      <c r="B53" s="73" t="s">
        <v>96</v>
      </c>
      <c r="C53" s="74"/>
      <c r="D53" s="74">
        <f>SUM(D42:D52)</f>
        <v>0</v>
      </c>
      <c r="E53" s="74">
        <f>SUM(E42:E52)</f>
        <v>1152.8807824909111</v>
      </c>
      <c r="F53" s="74">
        <f t="shared" ref="F53:AA53" si="16">SUM(F42:F52)</f>
        <v>1193.7041193201294</v>
      </c>
      <c r="G53" s="74">
        <f t="shared" si="16"/>
        <v>1153.6752418686522</v>
      </c>
      <c r="H53" s="74">
        <f t="shared" si="16"/>
        <v>0</v>
      </c>
      <c r="I53" s="74">
        <f t="shared" si="16"/>
        <v>0</v>
      </c>
      <c r="J53" s="74">
        <f t="shared" si="16"/>
        <v>0</v>
      </c>
      <c r="K53" s="74">
        <f t="shared" si="16"/>
        <v>0</v>
      </c>
      <c r="L53" s="74">
        <f t="shared" si="16"/>
        <v>0</v>
      </c>
      <c r="M53" s="74">
        <f t="shared" si="16"/>
        <v>0</v>
      </c>
      <c r="N53" s="74">
        <f t="shared" si="16"/>
        <v>0</v>
      </c>
      <c r="O53" s="74">
        <f t="shared" si="16"/>
        <v>0</v>
      </c>
      <c r="P53" s="74">
        <f t="shared" si="16"/>
        <v>0</v>
      </c>
      <c r="Q53" s="74">
        <f t="shared" si="16"/>
        <v>0</v>
      </c>
      <c r="R53" s="74">
        <f t="shared" si="16"/>
        <v>0</v>
      </c>
      <c r="S53" s="74">
        <f t="shared" si="16"/>
        <v>0</v>
      </c>
      <c r="T53" s="74">
        <f t="shared" si="16"/>
        <v>0</v>
      </c>
      <c r="U53" s="74">
        <f t="shared" si="16"/>
        <v>0</v>
      </c>
      <c r="V53" s="74">
        <f t="shared" si="16"/>
        <v>0</v>
      </c>
      <c r="W53" s="74">
        <f t="shared" si="16"/>
        <v>0</v>
      </c>
      <c r="X53" s="74">
        <f t="shared" si="16"/>
        <v>0</v>
      </c>
      <c r="Y53" s="74">
        <f t="shared" si="16"/>
        <v>0</v>
      </c>
      <c r="Z53" s="74">
        <f t="shared" si="16"/>
        <v>0</v>
      </c>
      <c r="AA53" s="74">
        <f t="shared" si="16"/>
        <v>0</v>
      </c>
      <c r="AC53" s="74">
        <f t="shared" ref="AC53:AH53" si="17">SUM(AC42:AC52)</f>
        <v>3500.2601436796926</v>
      </c>
      <c r="AD53" s="74">
        <f t="shared" si="17"/>
        <v>0</v>
      </c>
      <c r="AE53" s="74">
        <f t="shared" si="17"/>
        <v>0</v>
      </c>
      <c r="AF53" s="74">
        <f t="shared" si="17"/>
        <v>0</v>
      </c>
      <c r="AG53" s="74">
        <f t="shared" si="17"/>
        <v>0</v>
      </c>
      <c r="AH53" s="74">
        <f t="shared" si="17"/>
        <v>0</v>
      </c>
    </row>
    <row r="54" spans="1:34">
      <c r="A54" s="39" t="s">
        <v>185</v>
      </c>
      <c r="B54" s="90" t="s">
        <v>96</v>
      </c>
      <c r="D54" s="40">
        <f>(D53-D44)*Предположения!D$14</f>
        <v>0</v>
      </c>
      <c r="E54" s="40">
        <f>(E53-E44)*Предположения!E$14</f>
        <v>3.1127347472732936</v>
      </c>
      <c r="F54" s="40">
        <f>(F53-F44)*Предположения!F$14</f>
        <v>15.359735796038784</v>
      </c>
      <c r="G54" s="40">
        <f>(G53-G44)*Предположения!G$14</f>
        <v>3.3510725605956169</v>
      </c>
      <c r="H54" s="40">
        <f>(H53-H44)*Предположения!H$14</f>
        <v>0</v>
      </c>
      <c r="I54" s="40">
        <f>(I53-I44)*Предположения!I$14</f>
        <v>0</v>
      </c>
      <c r="J54" s="40">
        <f>(J53-J44)*Предположения!J$14</f>
        <v>0</v>
      </c>
      <c r="K54" s="40">
        <f>(K53-K44)*Предположения!K$14</f>
        <v>0</v>
      </c>
      <c r="L54" s="40">
        <f>(L53-L44)*Предположения!L$14</f>
        <v>0</v>
      </c>
      <c r="M54" s="40">
        <f>(M53-M44)*Предположения!M$14</f>
        <v>0</v>
      </c>
      <c r="N54" s="40">
        <f>(N53-N44)*Предположения!N$14</f>
        <v>0</v>
      </c>
      <c r="O54" s="40">
        <f>(O53-O44)*Предположения!O$14</f>
        <v>0</v>
      </c>
      <c r="P54" s="40">
        <f>(P53-P44)*Предположения!P$14</f>
        <v>0</v>
      </c>
      <c r="Q54" s="40">
        <f>(Q53-Q44)*Предположения!Q$14</f>
        <v>0</v>
      </c>
      <c r="R54" s="40">
        <f>(R53-R44)*Предположения!R$14</f>
        <v>0</v>
      </c>
      <c r="S54" s="40">
        <f>(S53-S44)*Предположения!S$14</f>
        <v>0</v>
      </c>
      <c r="T54" s="40">
        <f>(T53-T44)*Предположения!T$14</f>
        <v>0</v>
      </c>
      <c r="U54" s="40">
        <f>(U53-U44)*Предположения!U$14</f>
        <v>0</v>
      </c>
      <c r="V54" s="40">
        <f>(V53-V44)*Предположения!V$14</f>
        <v>0</v>
      </c>
      <c r="W54" s="40">
        <f>(W53-W44)*Предположения!W$14</f>
        <v>0</v>
      </c>
      <c r="X54" s="40">
        <f>(X53-X44)*Предположения!X$14</f>
        <v>0</v>
      </c>
      <c r="Y54" s="40">
        <f>(Y53-Y44)*Предположения!Y$14</f>
        <v>0</v>
      </c>
      <c r="Z54" s="40">
        <f>(Z53-Z44)*Предположения!Z$14</f>
        <v>0</v>
      </c>
      <c r="AA54" s="40">
        <f>(AA53-AA44)*Предположения!AA$14</f>
        <v>0</v>
      </c>
      <c r="AC54" s="40">
        <f t="shared" si="14"/>
        <v>21.823543103907696</v>
      </c>
      <c r="AD54" s="40">
        <f t="shared" si="14"/>
        <v>0</v>
      </c>
      <c r="AE54" s="40">
        <f t="shared" si="14"/>
        <v>0</v>
      </c>
      <c r="AF54" s="40">
        <f t="shared" si="14"/>
        <v>0</v>
      </c>
      <c r="AG54" s="40">
        <f t="shared" si="14"/>
        <v>0</v>
      </c>
      <c r="AH54" s="40">
        <f t="shared" si="14"/>
        <v>0</v>
      </c>
    </row>
    <row r="56" spans="1:34" s="11" customFormat="1">
      <c r="A56" s="93" t="s">
        <v>193</v>
      </c>
      <c r="B56" s="94"/>
      <c r="C56" s="21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C56" s="67"/>
      <c r="AD56" s="67"/>
      <c r="AE56" s="67"/>
      <c r="AF56" s="67"/>
      <c r="AG56" s="67"/>
      <c r="AH56" s="67"/>
    </row>
    <row r="57" spans="1:34">
      <c r="A57" s="90" t="s">
        <v>194</v>
      </c>
      <c r="B57" s="90" t="s">
        <v>96</v>
      </c>
      <c r="D57" s="40">
        <f t="shared" ref="D57:G58" si="18">SUM(D$32:D$33,D$53:D$54)*D60</f>
        <v>0</v>
      </c>
      <c r="E57" s="40">
        <f>SUM(E$32:E$33,E$53:E$54)*E60</f>
        <v>288.99837930954607</v>
      </c>
      <c r="F57" s="40">
        <f t="shared" si="18"/>
        <v>302.26596377904207</v>
      </c>
      <c r="G57" s="40">
        <f t="shared" si="18"/>
        <v>289.25657860731195</v>
      </c>
      <c r="AC57" s="40">
        <f t="shared" si="14"/>
        <v>880.52092169590014</v>
      </c>
      <c r="AD57" s="40">
        <f t="shared" si="14"/>
        <v>0</v>
      </c>
      <c r="AE57" s="40">
        <f t="shared" si="14"/>
        <v>0</v>
      </c>
      <c r="AF57" s="40">
        <f t="shared" si="14"/>
        <v>0</v>
      </c>
      <c r="AG57" s="40">
        <f t="shared" si="14"/>
        <v>0</v>
      </c>
      <c r="AH57" s="40">
        <f t="shared" si="14"/>
        <v>0</v>
      </c>
    </row>
    <row r="58" spans="1:34">
      <c r="A58" s="90" t="s">
        <v>65</v>
      </c>
      <c r="B58" s="90" t="s">
        <v>96</v>
      </c>
      <c r="D58" s="40">
        <f t="shared" si="18"/>
        <v>0</v>
      </c>
      <c r="E58" s="40">
        <f t="shared" si="18"/>
        <v>866.9951379286382</v>
      </c>
      <c r="F58" s="40">
        <f t="shared" si="18"/>
        <v>906.7978913371262</v>
      </c>
      <c r="G58" s="40">
        <f t="shared" si="18"/>
        <v>867.76973582193591</v>
      </c>
      <c r="AC58" s="40">
        <f t="shared" si="14"/>
        <v>2641.5627650877004</v>
      </c>
      <c r="AD58" s="40">
        <f t="shared" si="14"/>
        <v>0</v>
      </c>
      <c r="AE58" s="40">
        <f t="shared" si="14"/>
        <v>0</v>
      </c>
      <c r="AF58" s="40">
        <f t="shared" si="14"/>
        <v>0</v>
      </c>
      <c r="AG58" s="40">
        <f t="shared" si="14"/>
        <v>0</v>
      </c>
      <c r="AH58" s="40">
        <f t="shared" si="14"/>
        <v>0</v>
      </c>
    </row>
    <row r="60" spans="1:34">
      <c r="A60" s="90" t="s">
        <v>194</v>
      </c>
      <c r="B60" s="90" t="s">
        <v>49</v>
      </c>
      <c r="D60" s="47">
        <f>1-D61</f>
        <v>0.25</v>
      </c>
      <c r="E60" s="47">
        <f t="shared" ref="E60:O61" si="19">D60</f>
        <v>0.25</v>
      </c>
      <c r="F60" s="47">
        <f t="shared" ref="F60:O60" si="20">E60</f>
        <v>0.25</v>
      </c>
      <c r="G60" s="47">
        <f t="shared" si="20"/>
        <v>0.25</v>
      </c>
      <c r="H60" s="47">
        <f t="shared" si="20"/>
        <v>0.25</v>
      </c>
      <c r="I60" s="47">
        <f t="shared" si="20"/>
        <v>0.25</v>
      </c>
      <c r="J60" s="47">
        <f t="shared" si="20"/>
        <v>0.25</v>
      </c>
      <c r="K60" s="47">
        <f t="shared" si="20"/>
        <v>0.25</v>
      </c>
      <c r="L60" s="47">
        <f t="shared" si="20"/>
        <v>0.25</v>
      </c>
      <c r="M60" s="47">
        <f t="shared" si="20"/>
        <v>0.25</v>
      </c>
      <c r="N60" s="47">
        <f t="shared" si="20"/>
        <v>0.25</v>
      </c>
      <c r="O60" s="47">
        <f t="shared" si="20"/>
        <v>0.25</v>
      </c>
      <c r="P60" s="47">
        <f t="shared" ref="P60:W61" si="21">O60</f>
        <v>0.25</v>
      </c>
      <c r="Q60" s="47">
        <f t="shared" si="21"/>
        <v>0.25</v>
      </c>
      <c r="R60" s="47">
        <f t="shared" si="21"/>
        <v>0.25</v>
      </c>
      <c r="S60" s="47">
        <f t="shared" si="21"/>
        <v>0.25</v>
      </c>
      <c r="T60" s="47">
        <f t="shared" si="21"/>
        <v>0.25</v>
      </c>
      <c r="U60" s="47">
        <f t="shared" si="21"/>
        <v>0.25</v>
      </c>
      <c r="V60" s="47">
        <f t="shared" si="21"/>
        <v>0.25</v>
      </c>
      <c r="W60" s="47">
        <f t="shared" si="21"/>
        <v>0.25</v>
      </c>
      <c r="X60" s="47">
        <f t="shared" ref="X60:X61" si="22">W60</f>
        <v>0.25</v>
      </c>
      <c r="Y60" s="47">
        <f t="shared" ref="Y60:Y61" si="23">X60</f>
        <v>0.25</v>
      </c>
      <c r="Z60" s="47">
        <f t="shared" ref="Z60:Z61" si="24">Y60</f>
        <v>0.25</v>
      </c>
      <c r="AA60" s="47">
        <f t="shared" ref="AA60:AA61" si="25">Z60</f>
        <v>0.25</v>
      </c>
      <c r="AC60" s="47">
        <f t="shared" ref="AC60:AC61" si="26">SUMIF($D$3:$AA$3,AC$5,$D60:$AA60)</f>
        <v>0.25</v>
      </c>
      <c r="AD60" s="47">
        <f t="shared" ref="AD60:AH61" si="27">SUMIF($D$3:$AA$3,AD$5,$D60:$AA60)</f>
        <v>0.25</v>
      </c>
      <c r="AE60" s="47">
        <f t="shared" si="27"/>
        <v>0.25</v>
      </c>
      <c r="AF60" s="47">
        <f t="shared" si="27"/>
        <v>0.25</v>
      </c>
      <c r="AG60" s="47">
        <f t="shared" si="27"/>
        <v>0.25</v>
      </c>
      <c r="AH60" s="47">
        <f t="shared" si="27"/>
        <v>0.25</v>
      </c>
    </row>
    <row r="61" spans="1:34">
      <c r="A61" s="90" t="s">
        <v>65</v>
      </c>
      <c r="B61" s="90" t="s">
        <v>49</v>
      </c>
      <c r="D61" s="47">
        <f>Предположения!C89</f>
        <v>0.75</v>
      </c>
      <c r="E61" s="47">
        <f t="shared" si="19"/>
        <v>0.75</v>
      </c>
      <c r="F61" s="47">
        <f t="shared" si="19"/>
        <v>0.75</v>
      </c>
      <c r="G61" s="47">
        <f t="shared" si="19"/>
        <v>0.75</v>
      </c>
      <c r="H61" s="47">
        <f t="shared" si="19"/>
        <v>0.75</v>
      </c>
      <c r="I61" s="47">
        <f t="shared" si="19"/>
        <v>0.75</v>
      </c>
      <c r="J61" s="47">
        <f t="shared" si="19"/>
        <v>0.75</v>
      </c>
      <c r="K61" s="47">
        <f t="shared" si="19"/>
        <v>0.75</v>
      </c>
      <c r="L61" s="47">
        <f t="shared" si="19"/>
        <v>0.75</v>
      </c>
      <c r="M61" s="47">
        <f t="shared" si="19"/>
        <v>0.75</v>
      </c>
      <c r="N61" s="47">
        <f t="shared" si="19"/>
        <v>0.75</v>
      </c>
      <c r="O61" s="47">
        <f t="shared" si="19"/>
        <v>0.75</v>
      </c>
      <c r="P61" s="47">
        <f t="shared" si="21"/>
        <v>0.75</v>
      </c>
      <c r="Q61" s="47">
        <f t="shared" si="21"/>
        <v>0.75</v>
      </c>
      <c r="R61" s="47">
        <f t="shared" si="21"/>
        <v>0.75</v>
      </c>
      <c r="S61" s="47">
        <f t="shared" si="21"/>
        <v>0.75</v>
      </c>
      <c r="T61" s="47">
        <f t="shared" si="21"/>
        <v>0.75</v>
      </c>
      <c r="U61" s="47">
        <f t="shared" si="21"/>
        <v>0.75</v>
      </c>
      <c r="V61" s="47">
        <f t="shared" si="21"/>
        <v>0.75</v>
      </c>
      <c r="W61" s="47">
        <f t="shared" si="21"/>
        <v>0.75</v>
      </c>
      <c r="X61" s="47">
        <f t="shared" si="22"/>
        <v>0.75</v>
      </c>
      <c r="Y61" s="47">
        <f t="shared" si="23"/>
        <v>0.75</v>
      </c>
      <c r="Z61" s="47">
        <f t="shared" si="24"/>
        <v>0.75</v>
      </c>
      <c r="AA61" s="47">
        <f t="shared" si="25"/>
        <v>0.75</v>
      </c>
      <c r="AC61" s="47">
        <f t="shared" si="26"/>
        <v>0.75</v>
      </c>
      <c r="AD61" s="47">
        <f t="shared" si="27"/>
        <v>0.75</v>
      </c>
      <c r="AE61" s="47">
        <f t="shared" si="27"/>
        <v>0.75</v>
      </c>
      <c r="AF61" s="47">
        <f t="shared" si="27"/>
        <v>0.75</v>
      </c>
      <c r="AG61" s="47">
        <f t="shared" si="27"/>
        <v>0.75</v>
      </c>
      <c r="AH61" s="47">
        <f t="shared" si="27"/>
        <v>0.75</v>
      </c>
    </row>
    <row r="62" spans="1:34">
      <c r="A62" s="73" t="s">
        <v>195</v>
      </c>
      <c r="B62" s="73" t="s">
        <v>96</v>
      </c>
      <c r="C62" s="74"/>
      <c r="D62" s="74">
        <f t="shared" ref="D62:O62" si="28">SUM(D57:D58)</f>
        <v>0</v>
      </c>
      <c r="E62" s="74">
        <f t="shared" si="28"/>
        <v>1155.9935172381843</v>
      </c>
      <c r="F62" s="74">
        <f t="shared" si="28"/>
        <v>1209.0638551161683</v>
      </c>
      <c r="G62" s="74">
        <f t="shared" si="28"/>
        <v>1157.0263144292478</v>
      </c>
      <c r="H62" s="74">
        <f t="shared" si="28"/>
        <v>0</v>
      </c>
      <c r="I62" s="74">
        <f t="shared" si="28"/>
        <v>0</v>
      </c>
      <c r="J62" s="74">
        <f t="shared" si="28"/>
        <v>0</v>
      </c>
      <c r="K62" s="74">
        <f t="shared" si="28"/>
        <v>0</v>
      </c>
      <c r="L62" s="74">
        <f t="shared" si="28"/>
        <v>0</v>
      </c>
      <c r="M62" s="74">
        <f t="shared" si="28"/>
        <v>0</v>
      </c>
      <c r="N62" s="74">
        <f t="shared" si="28"/>
        <v>0</v>
      </c>
      <c r="O62" s="74">
        <f t="shared" si="28"/>
        <v>0</v>
      </c>
      <c r="P62" s="74">
        <f t="shared" ref="P62:W62" si="29">SUM(P57:P58)</f>
        <v>0</v>
      </c>
      <c r="Q62" s="74">
        <f t="shared" si="29"/>
        <v>0</v>
      </c>
      <c r="R62" s="74">
        <f t="shared" si="29"/>
        <v>0</v>
      </c>
      <c r="S62" s="74">
        <f t="shared" si="29"/>
        <v>0</v>
      </c>
      <c r="T62" s="74">
        <f t="shared" si="29"/>
        <v>0</v>
      </c>
      <c r="U62" s="74">
        <f t="shared" si="29"/>
        <v>0</v>
      </c>
      <c r="V62" s="74">
        <f t="shared" si="29"/>
        <v>0</v>
      </c>
      <c r="W62" s="74">
        <f t="shared" si="29"/>
        <v>0</v>
      </c>
      <c r="X62" s="74">
        <f t="shared" ref="X62:AA62" si="30">SUM(X57:X58)</f>
        <v>0</v>
      </c>
      <c r="Y62" s="74">
        <f t="shared" si="30"/>
        <v>0</v>
      </c>
      <c r="Z62" s="74">
        <f t="shared" si="30"/>
        <v>0</v>
      </c>
      <c r="AA62" s="74">
        <f t="shared" si="30"/>
        <v>0</v>
      </c>
      <c r="AC62" s="74">
        <f t="shared" ref="AC62:AH62" si="31">SUM(AC57:AC58)</f>
        <v>3522.0836867836006</v>
      </c>
      <c r="AD62" s="74">
        <f t="shared" si="31"/>
        <v>0</v>
      </c>
      <c r="AE62" s="74">
        <f t="shared" si="31"/>
        <v>0</v>
      </c>
      <c r="AF62" s="74">
        <f t="shared" si="31"/>
        <v>0</v>
      </c>
      <c r="AG62" s="74">
        <f t="shared" si="31"/>
        <v>0</v>
      </c>
      <c r="AH62" s="74">
        <f t="shared" si="31"/>
        <v>0</v>
      </c>
    </row>
    <row r="64" spans="1:34">
      <c r="A64" s="93" t="s">
        <v>196</v>
      </c>
      <c r="B64" s="94"/>
      <c r="C64" s="21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C64" s="67"/>
      <c r="AD64" s="67"/>
      <c r="AE64" s="67"/>
      <c r="AF64" s="67"/>
      <c r="AG64" s="67"/>
      <c r="AH64" s="67"/>
    </row>
    <row r="65" spans="1:34">
      <c r="A65" s="90" t="str">
        <f>Предположения!A90</f>
        <v>Целевая доля XXX</v>
      </c>
      <c r="B65" s="90" t="str">
        <f>Предположения!B90</f>
        <v>%</v>
      </c>
      <c r="C65" s="47">
        <f>Предположения!C90</f>
        <v>0.25</v>
      </c>
    </row>
    <row r="67" spans="1:34">
      <c r="A67" s="98" t="s">
        <v>197</v>
      </c>
    </row>
    <row r="68" spans="1:34">
      <c r="A68" s="90" t="str">
        <f>$A$57</f>
        <v>Частный инвестор</v>
      </c>
      <c r="B68" s="90" t="s">
        <v>96</v>
      </c>
      <c r="C68" s="40">
        <f t="shared" ref="C68:H69" si="32">C57</f>
        <v>0</v>
      </c>
      <c r="D68" s="40">
        <f t="shared" ref="D68:H68" si="33">D57</f>
        <v>0</v>
      </c>
      <c r="E68" s="40">
        <f t="shared" ref="E68:E69" si="34">E57</f>
        <v>288.99837930954607</v>
      </c>
      <c r="F68" s="40">
        <f t="shared" si="33"/>
        <v>302.26596377904207</v>
      </c>
      <c r="G68" s="40">
        <f t="shared" si="33"/>
        <v>289.25657860731195</v>
      </c>
      <c r="H68" s="40">
        <f t="shared" si="33"/>
        <v>0</v>
      </c>
    </row>
    <row r="69" spans="1:34">
      <c r="A69" s="90" t="s">
        <v>65</v>
      </c>
      <c r="B69" s="90" t="s">
        <v>96</v>
      </c>
      <c r="C69" s="40">
        <f t="shared" si="32"/>
        <v>0</v>
      </c>
      <c r="D69" s="40">
        <f t="shared" si="32"/>
        <v>0</v>
      </c>
      <c r="E69" s="40">
        <f t="shared" si="34"/>
        <v>866.9951379286382</v>
      </c>
      <c r="F69" s="40">
        <f t="shared" si="32"/>
        <v>906.7978913371262</v>
      </c>
      <c r="G69" s="40">
        <f t="shared" si="32"/>
        <v>867.76973582193591</v>
      </c>
      <c r="H69" s="40">
        <f t="shared" si="32"/>
        <v>0</v>
      </c>
    </row>
    <row r="70" spans="1:34">
      <c r="A70" s="73" t="s">
        <v>198</v>
      </c>
      <c r="B70" s="73" t="s">
        <v>96</v>
      </c>
      <c r="C70" s="74">
        <f t="shared" ref="C70:O75" si="35">SUM(C68:C69)</f>
        <v>0</v>
      </c>
      <c r="D70" s="74">
        <f t="shared" si="35"/>
        <v>0</v>
      </c>
      <c r="E70" s="74">
        <f>SUM(E68:E69)</f>
        <v>1155.9935172381843</v>
      </c>
      <c r="F70" s="74">
        <f t="shared" si="35"/>
        <v>1209.0638551161683</v>
      </c>
      <c r="G70" s="74">
        <f t="shared" si="35"/>
        <v>1157.0263144292478</v>
      </c>
      <c r="H70" s="74">
        <f t="shared" si="35"/>
        <v>0</v>
      </c>
      <c r="I70" s="74">
        <f t="shared" si="35"/>
        <v>0</v>
      </c>
      <c r="J70" s="74">
        <f t="shared" si="35"/>
        <v>0</v>
      </c>
      <c r="K70" s="74">
        <f t="shared" si="35"/>
        <v>0</v>
      </c>
      <c r="L70" s="74">
        <f t="shared" si="35"/>
        <v>0</v>
      </c>
      <c r="M70" s="74">
        <f t="shared" si="35"/>
        <v>0</v>
      </c>
      <c r="N70" s="74">
        <f t="shared" si="35"/>
        <v>0</v>
      </c>
      <c r="O70" s="74">
        <f t="shared" si="35"/>
        <v>0</v>
      </c>
      <c r="P70" s="74">
        <f t="shared" ref="P70:W75" si="36">SUM(P68:P69)</f>
        <v>0</v>
      </c>
      <c r="Q70" s="74">
        <f t="shared" si="36"/>
        <v>0</v>
      </c>
      <c r="R70" s="74">
        <f t="shared" si="36"/>
        <v>0</v>
      </c>
      <c r="S70" s="74">
        <f t="shared" si="36"/>
        <v>0</v>
      </c>
      <c r="T70" s="74">
        <f t="shared" si="36"/>
        <v>0</v>
      </c>
      <c r="U70" s="74">
        <f t="shared" si="36"/>
        <v>0</v>
      </c>
      <c r="V70" s="74">
        <f t="shared" si="36"/>
        <v>0</v>
      </c>
      <c r="W70" s="74">
        <f t="shared" si="36"/>
        <v>0</v>
      </c>
      <c r="X70" s="74">
        <f t="shared" ref="X70:AA75" si="37">SUM(X68:X69)</f>
        <v>0</v>
      </c>
      <c r="Y70" s="74">
        <f t="shared" si="37"/>
        <v>0</v>
      </c>
      <c r="Z70" s="74">
        <f t="shared" si="37"/>
        <v>0</v>
      </c>
      <c r="AA70" s="74">
        <f t="shared" si="37"/>
        <v>0</v>
      </c>
      <c r="AC70" s="74">
        <f t="shared" ref="AC70:AH75" si="38">SUMIF($D$4:$AA$4,AC$5,$D70:$AA70)</f>
        <v>3522.0836867836006</v>
      </c>
      <c r="AD70" s="74">
        <f t="shared" si="38"/>
        <v>0</v>
      </c>
      <c r="AE70" s="74">
        <f t="shared" si="38"/>
        <v>0</v>
      </c>
      <c r="AF70" s="74">
        <f t="shared" si="38"/>
        <v>0</v>
      </c>
      <c r="AG70" s="74">
        <f t="shared" si="38"/>
        <v>0</v>
      </c>
      <c r="AH70" s="74">
        <f t="shared" si="38"/>
        <v>0</v>
      </c>
    </row>
    <row r="72" spans="1:34">
      <c r="A72" s="98" t="s">
        <v>199</v>
      </c>
    </row>
    <row r="73" spans="1:34">
      <c r="A73" s="90" t="str">
        <f>$A$57</f>
        <v>Частный инвестор</v>
      </c>
      <c r="B73" s="90" t="s">
        <v>96</v>
      </c>
      <c r="D73" s="40">
        <f>SUM(C79:O79)/$C$65*(1-$C$65)-SUM(C68:O68)</f>
        <v>7044.1673735672011</v>
      </c>
    </row>
    <row r="74" spans="1:34">
      <c r="A74" s="90" t="s">
        <v>65</v>
      </c>
      <c r="B74" s="90" t="s">
        <v>96</v>
      </c>
    </row>
    <row r="75" spans="1:34">
      <c r="A75" s="73" t="s">
        <v>200</v>
      </c>
      <c r="B75" s="73" t="s">
        <v>96</v>
      </c>
      <c r="C75" s="74">
        <f t="shared" si="35"/>
        <v>0</v>
      </c>
      <c r="D75" s="74">
        <f t="shared" si="35"/>
        <v>7044.1673735672011</v>
      </c>
      <c r="E75" s="74">
        <f t="shared" si="35"/>
        <v>0</v>
      </c>
      <c r="F75" s="74">
        <f t="shared" si="35"/>
        <v>0</v>
      </c>
      <c r="G75" s="74">
        <f t="shared" si="35"/>
        <v>0</v>
      </c>
      <c r="H75" s="74">
        <f t="shared" si="35"/>
        <v>0</v>
      </c>
      <c r="I75" s="74">
        <f t="shared" si="35"/>
        <v>0</v>
      </c>
      <c r="J75" s="74">
        <f t="shared" si="35"/>
        <v>0</v>
      </c>
      <c r="K75" s="74">
        <f t="shared" si="35"/>
        <v>0</v>
      </c>
      <c r="L75" s="74">
        <f t="shared" si="35"/>
        <v>0</v>
      </c>
      <c r="M75" s="74">
        <f t="shared" si="35"/>
        <v>0</v>
      </c>
      <c r="N75" s="74">
        <f t="shared" si="35"/>
        <v>0</v>
      </c>
      <c r="O75" s="74">
        <f t="shared" si="35"/>
        <v>0</v>
      </c>
      <c r="P75" s="74">
        <f t="shared" si="36"/>
        <v>0</v>
      </c>
      <c r="Q75" s="74">
        <f t="shared" si="36"/>
        <v>0</v>
      </c>
      <c r="R75" s="74">
        <f t="shared" si="36"/>
        <v>0</v>
      </c>
      <c r="S75" s="74">
        <f t="shared" si="36"/>
        <v>0</v>
      </c>
      <c r="T75" s="74">
        <f t="shared" si="36"/>
        <v>0</v>
      </c>
      <c r="U75" s="74">
        <f t="shared" si="36"/>
        <v>0</v>
      </c>
      <c r="V75" s="74">
        <f t="shared" si="36"/>
        <v>0</v>
      </c>
      <c r="W75" s="74">
        <f t="shared" si="36"/>
        <v>0</v>
      </c>
      <c r="X75" s="74">
        <f t="shared" si="37"/>
        <v>0</v>
      </c>
      <c r="Y75" s="74">
        <f t="shared" si="37"/>
        <v>0</v>
      </c>
      <c r="Z75" s="74">
        <f t="shared" si="37"/>
        <v>0</v>
      </c>
      <c r="AA75" s="74">
        <f t="shared" si="37"/>
        <v>0</v>
      </c>
      <c r="AC75" s="74">
        <f t="shared" si="38"/>
        <v>7044.1673735672011</v>
      </c>
      <c r="AD75" s="74">
        <f t="shared" si="38"/>
        <v>0</v>
      </c>
      <c r="AE75" s="74">
        <f t="shared" si="38"/>
        <v>0</v>
      </c>
      <c r="AF75" s="74">
        <f t="shared" si="38"/>
        <v>0</v>
      </c>
      <c r="AG75" s="74">
        <f t="shared" si="38"/>
        <v>0</v>
      </c>
      <c r="AH75" s="74">
        <f t="shared" si="38"/>
        <v>0</v>
      </c>
    </row>
    <row r="77" spans="1:34">
      <c r="A77" s="98" t="s">
        <v>201</v>
      </c>
    </row>
    <row r="78" spans="1:34">
      <c r="A78" s="90" t="str">
        <f>$A$57</f>
        <v>Частный инвестор</v>
      </c>
      <c r="B78" s="90" t="s">
        <v>96</v>
      </c>
      <c r="C78" s="40">
        <f t="shared" ref="C78:O79" si="39">C68+C73</f>
        <v>0</v>
      </c>
      <c r="D78" s="40">
        <f t="shared" si="39"/>
        <v>7044.1673735672011</v>
      </c>
      <c r="E78" s="40">
        <f t="shared" si="39"/>
        <v>288.99837930954607</v>
      </c>
      <c r="F78" s="40">
        <f t="shared" si="39"/>
        <v>302.26596377904207</v>
      </c>
      <c r="G78" s="40">
        <f t="shared" si="39"/>
        <v>289.25657860731195</v>
      </c>
      <c r="H78" s="40">
        <f t="shared" si="39"/>
        <v>0</v>
      </c>
      <c r="I78" s="40">
        <f t="shared" si="39"/>
        <v>0</v>
      </c>
      <c r="J78" s="40">
        <f t="shared" si="39"/>
        <v>0</v>
      </c>
      <c r="K78" s="40">
        <f t="shared" si="39"/>
        <v>0</v>
      </c>
      <c r="L78" s="40">
        <f t="shared" si="39"/>
        <v>0</v>
      </c>
      <c r="M78" s="40">
        <f t="shared" si="39"/>
        <v>0</v>
      </c>
      <c r="N78" s="40">
        <f t="shared" si="39"/>
        <v>0</v>
      </c>
      <c r="O78" s="40">
        <f t="shared" si="39"/>
        <v>0</v>
      </c>
      <c r="P78" s="40">
        <f t="shared" ref="P78:W79" si="40">P68+P73</f>
        <v>0</v>
      </c>
      <c r="Q78" s="40">
        <f t="shared" si="40"/>
        <v>0</v>
      </c>
      <c r="R78" s="40">
        <f t="shared" si="40"/>
        <v>0</v>
      </c>
      <c r="S78" s="40">
        <f t="shared" si="40"/>
        <v>0</v>
      </c>
      <c r="T78" s="40">
        <f t="shared" si="40"/>
        <v>0</v>
      </c>
      <c r="U78" s="40">
        <f t="shared" si="40"/>
        <v>0</v>
      </c>
      <c r="V78" s="40">
        <f t="shared" si="40"/>
        <v>0</v>
      </c>
      <c r="W78" s="40">
        <f t="shared" si="40"/>
        <v>0</v>
      </c>
      <c r="X78" s="40">
        <f t="shared" ref="X78:AA79" si="41">X68+X73</f>
        <v>0</v>
      </c>
      <c r="Y78" s="40">
        <f t="shared" si="41"/>
        <v>0</v>
      </c>
      <c r="Z78" s="40">
        <f t="shared" si="41"/>
        <v>0</v>
      </c>
      <c r="AA78" s="40">
        <f t="shared" si="41"/>
        <v>0</v>
      </c>
      <c r="AC78" s="40">
        <f t="shared" ref="AC78:AH79" si="42">AC68+AC73</f>
        <v>0</v>
      </c>
      <c r="AD78" s="40">
        <f t="shared" si="42"/>
        <v>0</v>
      </c>
      <c r="AE78" s="40">
        <f t="shared" si="42"/>
        <v>0</v>
      </c>
      <c r="AF78" s="40">
        <f t="shared" si="42"/>
        <v>0</v>
      </c>
      <c r="AG78" s="40">
        <f t="shared" si="42"/>
        <v>0</v>
      </c>
      <c r="AH78" s="40">
        <f t="shared" si="42"/>
        <v>0</v>
      </c>
    </row>
    <row r="79" spans="1:34">
      <c r="A79" s="90" t="s">
        <v>65</v>
      </c>
      <c r="B79" s="90" t="s">
        <v>96</v>
      </c>
      <c r="C79" s="40">
        <f t="shared" si="39"/>
        <v>0</v>
      </c>
      <c r="D79" s="40">
        <f t="shared" si="39"/>
        <v>0</v>
      </c>
      <c r="E79" s="40">
        <f t="shared" si="39"/>
        <v>866.9951379286382</v>
      </c>
      <c r="F79" s="40">
        <f t="shared" si="39"/>
        <v>906.7978913371262</v>
      </c>
      <c r="G79" s="40">
        <f t="shared" si="39"/>
        <v>867.76973582193591</v>
      </c>
      <c r="H79" s="40">
        <f t="shared" si="39"/>
        <v>0</v>
      </c>
      <c r="I79" s="40">
        <f t="shared" si="39"/>
        <v>0</v>
      </c>
      <c r="J79" s="40">
        <f t="shared" si="39"/>
        <v>0</v>
      </c>
      <c r="K79" s="40">
        <f t="shared" si="39"/>
        <v>0</v>
      </c>
      <c r="L79" s="40">
        <f t="shared" si="39"/>
        <v>0</v>
      </c>
      <c r="M79" s="40">
        <f t="shared" si="39"/>
        <v>0</v>
      </c>
      <c r="N79" s="40">
        <f t="shared" si="39"/>
        <v>0</v>
      </c>
      <c r="O79" s="40">
        <f t="shared" si="39"/>
        <v>0</v>
      </c>
      <c r="P79" s="40">
        <f t="shared" si="40"/>
        <v>0</v>
      </c>
      <c r="Q79" s="40">
        <f t="shared" si="40"/>
        <v>0</v>
      </c>
      <c r="R79" s="40">
        <f t="shared" si="40"/>
        <v>0</v>
      </c>
      <c r="S79" s="40">
        <f t="shared" si="40"/>
        <v>0</v>
      </c>
      <c r="T79" s="40">
        <f t="shared" si="40"/>
        <v>0</v>
      </c>
      <c r="U79" s="40">
        <f t="shared" si="40"/>
        <v>0</v>
      </c>
      <c r="V79" s="40">
        <f t="shared" si="40"/>
        <v>0</v>
      </c>
      <c r="W79" s="40">
        <f t="shared" si="40"/>
        <v>0</v>
      </c>
      <c r="X79" s="40">
        <f t="shared" si="41"/>
        <v>0</v>
      </c>
      <c r="Y79" s="40">
        <f t="shared" si="41"/>
        <v>0</v>
      </c>
      <c r="Z79" s="40">
        <f t="shared" si="41"/>
        <v>0</v>
      </c>
      <c r="AA79" s="40">
        <f t="shared" si="41"/>
        <v>0</v>
      </c>
      <c r="AC79" s="40">
        <f t="shared" si="42"/>
        <v>0</v>
      </c>
      <c r="AD79" s="40">
        <f t="shared" si="42"/>
        <v>0</v>
      </c>
      <c r="AE79" s="40">
        <f t="shared" si="42"/>
        <v>0</v>
      </c>
      <c r="AF79" s="40">
        <f t="shared" si="42"/>
        <v>0</v>
      </c>
      <c r="AG79" s="40">
        <f t="shared" si="42"/>
        <v>0</v>
      </c>
      <c r="AH79" s="40">
        <f t="shared" si="42"/>
        <v>0</v>
      </c>
    </row>
    <row r="80" spans="1:34">
      <c r="A80" s="73" t="s">
        <v>202</v>
      </c>
      <c r="B80" s="73"/>
      <c r="C80" s="74">
        <f t="shared" ref="C80:O80" si="43">SUM(C78:C79)</f>
        <v>0</v>
      </c>
      <c r="D80" s="74">
        <f t="shared" si="43"/>
        <v>7044.1673735672011</v>
      </c>
      <c r="E80" s="74">
        <f t="shared" si="43"/>
        <v>1155.9935172381843</v>
      </c>
      <c r="F80" s="74">
        <f t="shared" si="43"/>
        <v>1209.0638551161683</v>
      </c>
      <c r="G80" s="74">
        <f t="shared" si="43"/>
        <v>1157.0263144292478</v>
      </c>
      <c r="H80" s="74">
        <f t="shared" si="43"/>
        <v>0</v>
      </c>
      <c r="I80" s="74">
        <f t="shared" si="43"/>
        <v>0</v>
      </c>
      <c r="J80" s="74">
        <f t="shared" si="43"/>
        <v>0</v>
      </c>
      <c r="K80" s="74">
        <f t="shared" si="43"/>
        <v>0</v>
      </c>
      <c r="L80" s="74">
        <f t="shared" si="43"/>
        <v>0</v>
      </c>
      <c r="M80" s="74">
        <f t="shared" si="43"/>
        <v>0</v>
      </c>
      <c r="N80" s="74">
        <f t="shared" si="43"/>
        <v>0</v>
      </c>
      <c r="O80" s="74">
        <f t="shared" si="43"/>
        <v>0</v>
      </c>
      <c r="P80" s="74">
        <f t="shared" ref="P80:W80" si="44">SUM(P78:P79)</f>
        <v>0</v>
      </c>
      <c r="Q80" s="74">
        <f t="shared" si="44"/>
        <v>0</v>
      </c>
      <c r="R80" s="74">
        <f t="shared" si="44"/>
        <v>0</v>
      </c>
      <c r="S80" s="74">
        <f t="shared" si="44"/>
        <v>0</v>
      </c>
      <c r="T80" s="74">
        <f t="shared" si="44"/>
        <v>0</v>
      </c>
      <c r="U80" s="74">
        <f t="shared" si="44"/>
        <v>0</v>
      </c>
      <c r="V80" s="74">
        <f t="shared" si="44"/>
        <v>0</v>
      </c>
      <c r="W80" s="74">
        <f t="shared" si="44"/>
        <v>0</v>
      </c>
      <c r="X80" s="74">
        <f t="shared" ref="X80:AA80" si="45">SUM(X78:X79)</f>
        <v>0</v>
      </c>
      <c r="Y80" s="74">
        <f t="shared" si="45"/>
        <v>0</v>
      </c>
      <c r="Z80" s="74">
        <f t="shared" si="45"/>
        <v>0</v>
      </c>
      <c r="AA80" s="74">
        <f t="shared" si="45"/>
        <v>0</v>
      </c>
      <c r="AC80" s="74">
        <f t="shared" ref="AC80:AH80" si="46">SUMIF($D$4:$AA$4,AC$5,$D80:$AA80)</f>
        <v>10566.251060350802</v>
      </c>
      <c r="AD80" s="74">
        <f t="shared" si="46"/>
        <v>0</v>
      </c>
      <c r="AE80" s="74">
        <f t="shared" si="46"/>
        <v>0</v>
      </c>
      <c r="AF80" s="74">
        <f t="shared" si="46"/>
        <v>0</v>
      </c>
      <c r="AG80" s="74">
        <f t="shared" si="46"/>
        <v>0</v>
      </c>
      <c r="AH80" s="74">
        <f t="shared" si="46"/>
        <v>0</v>
      </c>
    </row>
    <row r="82" spans="1:34">
      <c r="A82" s="98" t="s">
        <v>203</v>
      </c>
    </row>
    <row r="83" spans="1:34">
      <c r="A83" s="90" t="str">
        <f>$A$57</f>
        <v>Частный инвестор</v>
      </c>
      <c r="B83" s="90" t="s">
        <v>49</v>
      </c>
      <c r="C83" s="47"/>
      <c r="D83" s="47">
        <f t="shared" ref="D83:D84" si="47">SUM($C78:D78)/SUM($C$80:D$80)</f>
        <v>1</v>
      </c>
      <c r="E83" s="47">
        <f t="shared" ref="E83:E84" si="48">SUM($C78:E78)/SUM($C$80:E$80)</f>
        <v>0.89427096010996854</v>
      </c>
      <c r="F83" s="47">
        <f t="shared" ref="F83:F84" si="49">SUM($C78:F78)/SUM($C$80:F$80)</f>
        <v>0.81148361558324789</v>
      </c>
      <c r="G83" s="47">
        <f t="shared" ref="G83:G84" si="50">SUM($C78:G78)/SUM($C$80:G$80)</f>
        <v>0.75</v>
      </c>
      <c r="H83" s="47">
        <f t="shared" ref="H83:H84" si="51">SUM($C78:H78)/SUM($C$80:H$80)</f>
        <v>0.75</v>
      </c>
      <c r="I83" s="47">
        <f t="shared" ref="I83:I84" si="52">SUM($C78:I78)/SUM($C$80:I$80)</f>
        <v>0.75</v>
      </c>
      <c r="J83" s="47">
        <f t="shared" ref="J83:J84" si="53">SUM($C78:J78)/SUM($C$80:J$80)</f>
        <v>0.75</v>
      </c>
      <c r="K83" s="47">
        <f t="shared" ref="K83:K84" si="54">SUM($C78:K78)/SUM($C$80:K$80)</f>
        <v>0.75</v>
      </c>
      <c r="L83" s="47">
        <f t="shared" ref="L83:L84" si="55">SUM($C78:L78)/SUM($C$80:L$80)</f>
        <v>0.75</v>
      </c>
      <c r="M83" s="47">
        <f t="shared" ref="M83:M84" si="56">SUM($C78:M78)/SUM($C$80:M$80)</f>
        <v>0.75</v>
      </c>
      <c r="N83" s="47">
        <f t="shared" ref="N83:N84" si="57">SUM($C78:N78)/SUM($C$80:N$80)</f>
        <v>0.75</v>
      </c>
      <c r="O83" s="47">
        <f t="shared" ref="O83:O84" si="58">SUM($C78:O78)/SUM($C$80:O$80)</f>
        <v>0.75</v>
      </c>
      <c r="P83" s="47">
        <f t="shared" ref="P83:P84" si="59">SUM($C78:P78)/SUM($C$80:P$80)</f>
        <v>0.75</v>
      </c>
      <c r="Q83" s="47">
        <f t="shared" ref="Q83:Q84" si="60">SUM($C78:Q78)/SUM($C$80:Q$80)</f>
        <v>0.75</v>
      </c>
      <c r="R83" s="47">
        <f t="shared" ref="R83:R84" si="61">SUM($C78:R78)/SUM($C$80:R$80)</f>
        <v>0.75</v>
      </c>
      <c r="S83" s="47">
        <f t="shared" ref="S83:S84" si="62">SUM($C78:S78)/SUM($C$80:S$80)</f>
        <v>0.75</v>
      </c>
      <c r="T83" s="47">
        <f t="shared" ref="T83:T84" si="63">SUM($C78:T78)/SUM($C$80:T$80)</f>
        <v>0.75</v>
      </c>
      <c r="U83" s="47">
        <f t="shared" ref="U83:U84" si="64">SUM($C78:U78)/SUM($C$80:U$80)</f>
        <v>0.75</v>
      </c>
      <c r="V83" s="47">
        <f t="shared" ref="V83:V84" si="65">SUM($C78:V78)/SUM($C$80:V$80)</f>
        <v>0.75</v>
      </c>
      <c r="W83" s="47">
        <f t="shared" ref="W83:W84" si="66">SUM($C78:W78)/SUM($C$80:W$80)</f>
        <v>0.75</v>
      </c>
      <c r="X83" s="47">
        <f t="shared" ref="X83:X84" si="67">SUM($C78:X78)/SUM($C$80:X$80)</f>
        <v>0.75</v>
      </c>
      <c r="Y83" s="47">
        <f t="shared" ref="Y83:Y84" si="68">SUM($C78:Y78)/SUM($C$80:Y$80)</f>
        <v>0.75</v>
      </c>
      <c r="Z83" s="47">
        <f t="shared" ref="Z83:Z84" si="69">SUM($C78:Z78)/SUM($C$80:Z$80)</f>
        <v>0.75</v>
      </c>
      <c r="AA83" s="47">
        <f t="shared" ref="AA83:AA84" si="70">SUM($C78:AA78)/SUM($C$80:AA$80)</f>
        <v>0.75</v>
      </c>
      <c r="AC83" s="47">
        <f t="shared" ref="AC83:AC84" si="71">SUMIF($D$3:$AA$3,AC$5,$D83:$AA83)</f>
        <v>0.75</v>
      </c>
      <c r="AD83" s="47">
        <f t="shared" ref="AD83:AH84" si="72">SUMIF($D$3:$AA$3,AD$5,$D83:$AA83)</f>
        <v>0.75</v>
      </c>
      <c r="AE83" s="47">
        <f t="shared" si="72"/>
        <v>0.75</v>
      </c>
      <c r="AF83" s="47">
        <f t="shared" si="72"/>
        <v>0.75</v>
      </c>
      <c r="AG83" s="47">
        <f t="shared" si="72"/>
        <v>0.75</v>
      </c>
      <c r="AH83" s="47">
        <f t="shared" si="72"/>
        <v>0.75</v>
      </c>
    </row>
    <row r="84" spans="1:34">
      <c r="A84" s="90" t="s">
        <v>65</v>
      </c>
      <c r="B84" s="90" t="s">
        <v>49</v>
      </c>
      <c r="C84" s="47"/>
      <c r="D84" s="47">
        <f t="shared" si="47"/>
        <v>0</v>
      </c>
      <c r="E84" s="47">
        <f t="shared" si="48"/>
        <v>0.10572903989003142</v>
      </c>
      <c r="F84" s="47">
        <f t="shared" si="49"/>
        <v>0.18851638441675209</v>
      </c>
      <c r="G84" s="47">
        <f t="shared" si="50"/>
        <v>0.25</v>
      </c>
      <c r="H84" s="47">
        <f t="shared" si="51"/>
        <v>0.25</v>
      </c>
      <c r="I84" s="47">
        <f t="shared" si="52"/>
        <v>0.25</v>
      </c>
      <c r="J84" s="47">
        <f t="shared" si="53"/>
        <v>0.25</v>
      </c>
      <c r="K84" s="47">
        <f t="shared" si="54"/>
        <v>0.25</v>
      </c>
      <c r="L84" s="47">
        <f t="shared" si="55"/>
        <v>0.25</v>
      </c>
      <c r="M84" s="47">
        <f t="shared" si="56"/>
        <v>0.25</v>
      </c>
      <c r="N84" s="47">
        <f t="shared" si="57"/>
        <v>0.25</v>
      </c>
      <c r="O84" s="47">
        <f t="shared" si="58"/>
        <v>0.25</v>
      </c>
      <c r="P84" s="47">
        <f t="shared" si="59"/>
        <v>0.25</v>
      </c>
      <c r="Q84" s="47">
        <f t="shared" si="60"/>
        <v>0.25</v>
      </c>
      <c r="R84" s="47">
        <f t="shared" si="61"/>
        <v>0.25</v>
      </c>
      <c r="S84" s="47">
        <f t="shared" si="62"/>
        <v>0.25</v>
      </c>
      <c r="T84" s="47">
        <f t="shared" si="63"/>
        <v>0.25</v>
      </c>
      <c r="U84" s="47">
        <f t="shared" si="64"/>
        <v>0.25</v>
      </c>
      <c r="V84" s="47">
        <f t="shared" si="65"/>
        <v>0.25</v>
      </c>
      <c r="W84" s="47">
        <f t="shared" si="66"/>
        <v>0.25</v>
      </c>
      <c r="X84" s="47">
        <f t="shared" si="67"/>
        <v>0.25</v>
      </c>
      <c r="Y84" s="47">
        <f t="shared" si="68"/>
        <v>0.25</v>
      </c>
      <c r="Z84" s="47">
        <f t="shared" si="69"/>
        <v>0.25</v>
      </c>
      <c r="AA84" s="47">
        <f t="shared" si="70"/>
        <v>0.25</v>
      </c>
      <c r="AC84" s="47">
        <f t="shared" si="71"/>
        <v>0.25</v>
      </c>
      <c r="AD84" s="47">
        <f t="shared" si="72"/>
        <v>0.25</v>
      </c>
      <c r="AE84" s="47">
        <f t="shared" si="72"/>
        <v>0.25</v>
      </c>
      <c r="AF84" s="47">
        <f t="shared" si="72"/>
        <v>0.25</v>
      </c>
      <c r="AG84" s="47">
        <f t="shared" si="72"/>
        <v>0.25</v>
      </c>
      <c r="AH84" s="47">
        <f t="shared" si="72"/>
        <v>0.25</v>
      </c>
    </row>
    <row r="85" spans="1:34">
      <c r="A85" s="99" t="s">
        <v>204</v>
      </c>
      <c r="B85" s="99"/>
      <c r="C85" s="100"/>
      <c r="D85" s="100">
        <f t="shared" ref="D85:O85" si="73">1-SUM(D83:D84)</f>
        <v>0</v>
      </c>
      <c r="E85" s="100">
        <f t="shared" si="73"/>
        <v>0</v>
      </c>
      <c r="F85" s="100">
        <f t="shared" si="73"/>
        <v>0</v>
      </c>
      <c r="G85" s="100">
        <f t="shared" si="73"/>
        <v>0</v>
      </c>
      <c r="H85" s="100">
        <f t="shared" si="73"/>
        <v>0</v>
      </c>
      <c r="I85" s="100">
        <f t="shared" si="73"/>
        <v>0</v>
      </c>
      <c r="J85" s="100">
        <f t="shared" si="73"/>
        <v>0</v>
      </c>
      <c r="K85" s="100">
        <f t="shared" si="73"/>
        <v>0</v>
      </c>
      <c r="L85" s="100">
        <f t="shared" si="73"/>
        <v>0</v>
      </c>
      <c r="M85" s="100">
        <f t="shared" si="73"/>
        <v>0</v>
      </c>
      <c r="N85" s="100">
        <f t="shared" si="73"/>
        <v>0</v>
      </c>
      <c r="O85" s="100">
        <f t="shared" si="73"/>
        <v>0</v>
      </c>
      <c r="P85" s="100">
        <f t="shared" ref="P85:W85" si="74">1-SUM(P83:P84)</f>
        <v>0</v>
      </c>
      <c r="Q85" s="100">
        <f t="shared" si="74"/>
        <v>0</v>
      </c>
      <c r="R85" s="100">
        <f t="shared" si="74"/>
        <v>0</v>
      </c>
      <c r="S85" s="100">
        <f t="shared" si="74"/>
        <v>0</v>
      </c>
      <c r="T85" s="100">
        <f t="shared" si="74"/>
        <v>0</v>
      </c>
      <c r="U85" s="100">
        <f t="shared" si="74"/>
        <v>0</v>
      </c>
      <c r="V85" s="100">
        <f t="shared" si="74"/>
        <v>0</v>
      </c>
      <c r="W85" s="100">
        <f t="shared" si="74"/>
        <v>0</v>
      </c>
      <c r="X85" s="100">
        <f t="shared" ref="X85:AA85" si="75">1-SUM(X83:X84)</f>
        <v>0</v>
      </c>
      <c r="Y85" s="100">
        <f t="shared" si="75"/>
        <v>0</v>
      </c>
      <c r="Z85" s="100">
        <f t="shared" si="75"/>
        <v>0</v>
      </c>
      <c r="AA85" s="100">
        <f t="shared" si="75"/>
        <v>0</v>
      </c>
      <c r="AC85" s="100">
        <f t="shared" ref="AC85:AH85" si="76">1-SUM(AC83:AC84)</f>
        <v>0</v>
      </c>
      <c r="AD85" s="100">
        <f t="shared" si="76"/>
        <v>0</v>
      </c>
      <c r="AE85" s="100">
        <f t="shared" si="76"/>
        <v>0</v>
      </c>
      <c r="AF85" s="100">
        <f t="shared" si="76"/>
        <v>0</v>
      </c>
      <c r="AG85" s="100">
        <f t="shared" si="76"/>
        <v>0</v>
      </c>
      <c r="AH85" s="100">
        <f t="shared" si="76"/>
        <v>0</v>
      </c>
    </row>
    <row r="87" spans="1:34">
      <c r="A87" s="93" t="s">
        <v>205</v>
      </c>
      <c r="B87" s="94"/>
      <c r="C87" s="21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C87" s="67"/>
      <c r="AD87" s="67"/>
      <c r="AE87" s="67"/>
      <c r="AF87" s="67"/>
      <c r="AG87" s="67"/>
      <c r="AH87" s="67"/>
    </row>
    <row r="88" spans="1:34">
      <c r="A88" s="90" t="str">
        <f>$A$57</f>
        <v>Частный инвестор</v>
      </c>
      <c r="B88" s="90" t="s">
        <v>96</v>
      </c>
      <c r="C88" s="80"/>
      <c r="D88" s="69">
        <f>Предположения!C91</f>
        <v>0</v>
      </c>
      <c r="E88" s="69">
        <f t="shared" ref="E88:G88" si="77">D88</f>
        <v>0</v>
      </c>
      <c r="F88" s="69">
        <f t="shared" si="77"/>
        <v>0</v>
      </c>
      <c r="G88" s="69">
        <f t="shared" si="77"/>
        <v>0</v>
      </c>
      <c r="H88" s="69">
        <f t="shared" ref="H88:O88" si="78">G88</f>
        <v>0</v>
      </c>
      <c r="I88" s="69">
        <f t="shared" si="78"/>
        <v>0</v>
      </c>
      <c r="J88" s="69">
        <f t="shared" si="78"/>
        <v>0</v>
      </c>
      <c r="K88" s="69">
        <f t="shared" si="78"/>
        <v>0</v>
      </c>
      <c r="L88" s="69">
        <f t="shared" si="78"/>
        <v>0</v>
      </c>
      <c r="M88" s="69">
        <f t="shared" si="78"/>
        <v>0</v>
      </c>
      <c r="N88" s="69">
        <f t="shared" si="78"/>
        <v>0</v>
      </c>
      <c r="O88" s="69">
        <f t="shared" si="78"/>
        <v>0</v>
      </c>
      <c r="P88" s="69">
        <f t="shared" ref="P88:AA88" si="79">O88</f>
        <v>0</v>
      </c>
      <c r="Q88" s="69">
        <f t="shared" si="79"/>
        <v>0</v>
      </c>
      <c r="R88" s="69">
        <f t="shared" si="79"/>
        <v>0</v>
      </c>
      <c r="S88" s="69">
        <f t="shared" si="79"/>
        <v>0</v>
      </c>
      <c r="T88" s="69">
        <f t="shared" si="79"/>
        <v>0</v>
      </c>
      <c r="U88" s="69">
        <f t="shared" si="79"/>
        <v>0</v>
      </c>
      <c r="V88" s="69">
        <f t="shared" si="79"/>
        <v>0</v>
      </c>
      <c r="W88" s="69">
        <f t="shared" si="79"/>
        <v>0</v>
      </c>
      <c r="X88" s="69">
        <f t="shared" si="79"/>
        <v>0</v>
      </c>
      <c r="Y88" s="69">
        <f t="shared" si="79"/>
        <v>0</v>
      </c>
      <c r="Z88" s="69">
        <f t="shared" si="79"/>
        <v>0</v>
      </c>
      <c r="AA88" s="69">
        <f t="shared" si="79"/>
        <v>0</v>
      </c>
      <c r="AC88" s="69">
        <f t="shared" ref="AC88:AC89" si="80">SUMIF($D$3:$AA$3,AC$5,$D88:$AA88)</f>
        <v>0</v>
      </c>
      <c r="AD88" s="69">
        <f t="shared" ref="AD88:AH89" si="81">SUMIF($D$3:$AA$3,AD$5,$D88:$AA88)</f>
        <v>0</v>
      </c>
      <c r="AE88" s="69">
        <f t="shared" si="81"/>
        <v>0</v>
      </c>
      <c r="AF88" s="69">
        <f t="shared" si="81"/>
        <v>0</v>
      </c>
      <c r="AG88" s="69">
        <f t="shared" si="81"/>
        <v>0</v>
      </c>
      <c r="AH88" s="69">
        <f t="shared" si="81"/>
        <v>0</v>
      </c>
    </row>
    <row r="89" spans="1:34">
      <c r="A89" s="90" t="s">
        <v>65</v>
      </c>
      <c r="B89" s="90" t="s">
        <v>96</v>
      </c>
      <c r="C89" s="80"/>
      <c r="D89" s="80">
        <f t="shared" ref="D89:O89" si="82">D$88/D$83*D84</f>
        <v>0</v>
      </c>
      <c r="E89" s="80">
        <f t="shared" si="82"/>
        <v>0</v>
      </c>
      <c r="F89" s="80">
        <f t="shared" si="82"/>
        <v>0</v>
      </c>
      <c r="G89" s="80">
        <f t="shared" si="82"/>
        <v>0</v>
      </c>
      <c r="H89" s="80">
        <f t="shared" si="82"/>
        <v>0</v>
      </c>
      <c r="I89" s="80">
        <f t="shared" si="82"/>
        <v>0</v>
      </c>
      <c r="J89" s="80">
        <f t="shared" si="82"/>
        <v>0</v>
      </c>
      <c r="K89" s="80">
        <f t="shared" si="82"/>
        <v>0</v>
      </c>
      <c r="L89" s="80">
        <f t="shared" si="82"/>
        <v>0</v>
      </c>
      <c r="M89" s="80">
        <f t="shared" si="82"/>
        <v>0</v>
      </c>
      <c r="N89" s="80">
        <f t="shared" si="82"/>
        <v>0</v>
      </c>
      <c r="O89" s="80">
        <f t="shared" si="82"/>
        <v>0</v>
      </c>
      <c r="P89" s="80">
        <f t="shared" ref="P89:W89" si="83">P$88/P$83*P84</f>
        <v>0</v>
      </c>
      <c r="Q89" s="80">
        <f t="shared" si="83"/>
        <v>0</v>
      </c>
      <c r="R89" s="80">
        <f t="shared" si="83"/>
        <v>0</v>
      </c>
      <c r="S89" s="80">
        <f t="shared" si="83"/>
        <v>0</v>
      </c>
      <c r="T89" s="80">
        <f t="shared" si="83"/>
        <v>0</v>
      </c>
      <c r="U89" s="80">
        <f t="shared" si="83"/>
        <v>0</v>
      </c>
      <c r="V89" s="80">
        <f t="shared" si="83"/>
        <v>0</v>
      </c>
      <c r="W89" s="80">
        <f t="shared" si="83"/>
        <v>0</v>
      </c>
      <c r="X89" s="80">
        <f t="shared" ref="X89:AA89" si="84">X$88/X$83*X84</f>
        <v>0</v>
      </c>
      <c r="Y89" s="80">
        <f t="shared" si="84"/>
        <v>0</v>
      </c>
      <c r="Z89" s="80">
        <f t="shared" si="84"/>
        <v>0</v>
      </c>
      <c r="AA89" s="80">
        <f t="shared" si="84"/>
        <v>0</v>
      </c>
      <c r="AC89" s="69">
        <f t="shared" si="80"/>
        <v>0</v>
      </c>
      <c r="AD89" s="69">
        <f t="shared" si="81"/>
        <v>0</v>
      </c>
      <c r="AE89" s="69">
        <f t="shared" si="81"/>
        <v>0</v>
      </c>
      <c r="AF89" s="69">
        <f t="shared" si="81"/>
        <v>0</v>
      </c>
      <c r="AG89" s="69">
        <f t="shared" si="81"/>
        <v>0</v>
      </c>
      <c r="AH89" s="69">
        <f t="shared" si="81"/>
        <v>0</v>
      </c>
    </row>
    <row r="90" spans="1:34">
      <c r="A90" s="73" t="s">
        <v>206</v>
      </c>
      <c r="B90" s="73" t="s">
        <v>96</v>
      </c>
      <c r="C90" s="74"/>
      <c r="D90" s="74">
        <f t="shared" ref="D90:O90" si="85">SUM(D88:D89)</f>
        <v>0</v>
      </c>
      <c r="E90" s="74">
        <f t="shared" si="85"/>
        <v>0</v>
      </c>
      <c r="F90" s="74">
        <f t="shared" si="85"/>
        <v>0</v>
      </c>
      <c r="G90" s="74">
        <f t="shared" si="85"/>
        <v>0</v>
      </c>
      <c r="H90" s="74">
        <f t="shared" si="85"/>
        <v>0</v>
      </c>
      <c r="I90" s="74">
        <f t="shared" si="85"/>
        <v>0</v>
      </c>
      <c r="J90" s="74">
        <f t="shared" si="85"/>
        <v>0</v>
      </c>
      <c r="K90" s="74">
        <f t="shared" si="85"/>
        <v>0</v>
      </c>
      <c r="L90" s="74">
        <f t="shared" si="85"/>
        <v>0</v>
      </c>
      <c r="M90" s="74">
        <f t="shared" si="85"/>
        <v>0</v>
      </c>
      <c r="N90" s="74">
        <f t="shared" si="85"/>
        <v>0</v>
      </c>
      <c r="O90" s="74">
        <f t="shared" si="85"/>
        <v>0</v>
      </c>
      <c r="P90" s="74">
        <f t="shared" ref="P90:W90" si="86">SUM(P88:P89)</f>
        <v>0</v>
      </c>
      <c r="Q90" s="74">
        <f t="shared" si="86"/>
        <v>0</v>
      </c>
      <c r="R90" s="74">
        <f t="shared" si="86"/>
        <v>0</v>
      </c>
      <c r="S90" s="74">
        <f t="shared" si="86"/>
        <v>0</v>
      </c>
      <c r="T90" s="74">
        <f t="shared" si="86"/>
        <v>0</v>
      </c>
      <c r="U90" s="74">
        <f t="shared" si="86"/>
        <v>0</v>
      </c>
      <c r="V90" s="74">
        <f t="shared" si="86"/>
        <v>0</v>
      </c>
      <c r="W90" s="74">
        <f t="shared" si="86"/>
        <v>0</v>
      </c>
      <c r="X90" s="74">
        <f t="shared" ref="X90:AA90" si="87">SUM(X88:X89)</f>
        <v>0</v>
      </c>
      <c r="Y90" s="74">
        <f t="shared" si="87"/>
        <v>0</v>
      </c>
      <c r="Z90" s="74">
        <f t="shared" si="87"/>
        <v>0</v>
      </c>
      <c r="AA90" s="74">
        <f t="shared" si="87"/>
        <v>0</v>
      </c>
      <c r="AC90" s="74">
        <f t="shared" ref="AC90:AH90" si="88">SUM(AC88:AC89)</f>
        <v>0</v>
      </c>
      <c r="AD90" s="74">
        <f t="shared" si="88"/>
        <v>0</v>
      </c>
      <c r="AE90" s="74">
        <f t="shared" si="88"/>
        <v>0</v>
      </c>
      <c r="AF90" s="74">
        <f t="shared" si="88"/>
        <v>0</v>
      </c>
      <c r="AG90" s="74">
        <f t="shared" si="88"/>
        <v>0</v>
      </c>
      <c r="AH90" s="74">
        <f t="shared" si="88"/>
        <v>0</v>
      </c>
    </row>
    <row r="91" spans="1:34">
      <c r="C91" s="80"/>
      <c r="D91" s="90"/>
      <c r="G91" s="47"/>
    </row>
    <row r="92" spans="1:34">
      <c r="A92" s="93" t="s">
        <v>207</v>
      </c>
      <c r="B92" s="94"/>
      <c r="C92" s="21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C92" s="67"/>
      <c r="AD92" s="67"/>
      <c r="AE92" s="67"/>
      <c r="AF92" s="67"/>
      <c r="AG92" s="67"/>
      <c r="AH92" s="67"/>
    </row>
    <row r="93" spans="1:34">
      <c r="A93" s="90" t="s">
        <v>208</v>
      </c>
      <c r="B93" s="90" t="s">
        <v>96</v>
      </c>
      <c r="C93" s="40">
        <f>SUM(C70)</f>
        <v>0</v>
      </c>
      <c r="D93" s="40">
        <f t="shared" ref="D93:O93" si="89">SUM(D70)</f>
        <v>0</v>
      </c>
      <c r="E93" s="40">
        <f t="shared" si="89"/>
        <v>1155.9935172381843</v>
      </c>
      <c r="F93" s="40">
        <f t="shared" si="89"/>
        <v>1209.0638551161683</v>
      </c>
      <c r="G93" s="40">
        <f t="shared" si="89"/>
        <v>1157.0263144292478</v>
      </c>
      <c r="H93" s="40">
        <f t="shared" si="89"/>
        <v>0</v>
      </c>
      <c r="I93" s="40">
        <f t="shared" si="89"/>
        <v>0</v>
      </c>
      <c r="J93" s="40">
        <f t="shared" si="89"/>
        <v>0</v>
      </c>
      <c r="K93" s="40">
        <f t="shared" si="89"/>
        <v>0</v>
      </c>
      <c r="L93" s="40">
        <f t="shared" si="89"/>
        <v>0</v>
      </c>
      <c r="M93" s="40">
        <f t="shared" si="89"/>
        <v>0</v>
      </c>
      <c r="N93" s="40">
        <f t="shared" si="89"/>
        <v>0</v>
      </c>
      <c r="O93" s="40">
        <f t="shared" si="89"/>
        <v>0</v>
      </c>
      <c r="P93" s="40">
        <f t="shared" ref="P93:W93" si="90">SUM(P70)</f>
        <v>0</v>
      </c>
      <c r="Q93" s="40">
        <f t="shared" si="90"/>
        <v>0</v>
      </c>
      <c r="R93" s="40">
        <f t="shared" si="90"/>
        <v>0</v>
      </c>
      <c r="S93" s="40">
        <f t="shared" si="90"/>
        <v>0</v>
      </c>
      <c r="T93" s="40">
        <f t="shared" si="90"/>
        <v>0</v>
      </c>
      <c r="U93" s="40">
        <f t="shared" si="90"/>
        <v>0</v>
      </c>
      <c r="V93" s="40">
        <f t="shared" si="90"/>
        <v>0</v>
      </c>
      <c r="W93" s="40">
        <f t="shared" si="90"/>
        <v>0</v>
      </c>
      <c r="X93" s="40">
        <f t="shared" ref="X93:AA93" si="91">SUM(X70)</f>
        <v>0</v>
      </c>
      <c r="Y93" s="40">
        <f t="shared" si="91"/>
        <v>0</v>
      </c>
      <c r="Z93" s="40">
        <f t="shared" si="91"/>
        <v>0</v>
      </c>
      <c r="AA93" s="40">
        <f t="shared" si="91"/>
        <v>0</v>
      </c>
      <c r="AC93" s="40">
        <f t="shared" ref="AC93:AH93" si="92">SUM(AC70)</f>
        <v>3522.0836867836006</v>
      </c>
      <c r="AD93" s="40">
        <f t="shared" si="92"/>
        <v>0</v>
      </c>
      <c r="AE93" s="40">
        <f t="shared" si="92"/>
        <v>0</v>
      </c>
      <c r="AF93" s="40">
        <f t="shared" si="92"/>
        <v>0</v>
      </c>
      <c r="AG93" s="40">
        <f t="shared" si="92"/>
        <v>0</v>
      </c>
      <c r="AH93" s="40">
        <f t="shared" si="92"/>
        <v>0</v>
      </c>
    </row>
    <row r="94" spans="1:34">
      <c r="A94" s="90" t="s">
        <v>209</v>
      </c>
      <c r="B94" s="90" t="s">
        <v>96</v>
      </c>
      <c r="C94" s="40">
        <f>C90</f>
        <v>0</v>
      </c>
      <c r="D94" s="40">
        <f>D90</f>
        <v>0</v>
      </c>
      <c r="E94" s="40">
        <f t="shared" ref="E94:O94" si="93">E90</f>
        <v>0</v>
      </c>
      <c r="F94" s="40">
        <f t="shared" si="93"/>
        <v>0</v>
      </c>
      <c r="G94" s="40">
        <f t="shared" si="93"/>
        <v>0</v>
      </c>
      <c r="H94" s="40">
        <f t="shared" si="93"/>
        <v>0</v>
      </c>
      <c r="I94" s="40">
        <f t="shared" si="93"/>
        <v>0</v>
      </c>
      <c r="J94" s="40">
        <f t="shared" si="93"/>
        <v>0</v>
      </c>
      <c r="K94" s="40">
        <f t="shared" si="93"/>
        <v>0</v>
      </c>
      <c r="L94" s="40">
        <f t="shared" si="93"/>
        <v>0</v>
      </c>
      <c r="M94" s="40">
        <f t="shared" si="93"/>
        <v>0</v>
      </c>
      <c r="N94" s="40">
        <f t="shared" si="93"/>
        <v>0</v>
      </c>
      <c r="O94" s="40">
        <f t="shared" si="93"/>
        <v>0</v>
      </c>
      <c r="P94" s="40">
        <f t="shared" ref="P94:W94" si="94">P90</f>
        <v>0</v>
      </c>
      <c r="Q94" s="40">
        <f t="shared" si="94"/>
        <v>0</v>
      </c>
      <c r="R94" s="40">
        <f t="shared" si="94"/>
        <v>0</v>
      </c>
      <c r="S94" s="40">
        <f t="shared" si="94"/>
        <v>0</v>
      </c>
      <c r="T94" s="40">
        <f t="shared" si="94"/>
        <v>0</v>
      </c>
      <c r="U94" s="40">
        <f t="shared" si="94"/>
        <v>0</v>
      </c>
      <c r="V94" s="40">
        <f t="shared" si="94"/>
        <v>0</v>
      </c>
      <c r="W94" s="40">
        <f t="shared" si="94"/>
        <v>0</v>
      </c>
      <c r="X94" s="40">
        <f t="shared" ref="X94:AA94" si="95">X90</f>
        <v>0</v>
      </c>
      <c r="Y94" s="40">
        <f t="shared" si="95"/>
        <v>0</v>
      </c>
      <c r="Z94" s="40">
        <f t="shared" si="95"/>
        <v>0</v>
      </c>
      <c r="AA94" s="40">
        <f t="shared" si="95"/>
        <v>0</v>
      </c>
      <c r="AC94" s="69">
        <f t="shared" ref="AC94:AH94" si="96">SUMIF($D$3:$AA$3,AC$5,$D94:$AA94)</f>
        <v>0</v>
      </c>
      <c r="AD94" s="69">
        <f t="shared" si="96"/>
        <v>0</v>
      </c>
      <c r="AE94" s="69">
        <f t="shared" si="96"/>
        <v>0</v>
      </c>
      <c r="AF94" s="69">
        <f t="shared" si="96"/>
        <v>0</v>
      </c>
      <c r="AG94" s="69">
        <f t="shared" si="96"/>
        <v>0</v>
      </c>
      <c r="AH94" s="69">
        <f t="shared" si="96"/>
        <v>0</v>
      </c>
    </row>
    <row r="95" spans="1:34">
      <c r="A95" s="73" t="s">
        <v>210</v>
      </c>
      <c r="B95" s="73" t="s">
        <v>96</v>
      </c>
      <c r="C95" s="74">
        <f>IF(SUM($C$93:C93)-C94&gt;0,SUM($C$93:C93)-C94,)</f>
        <v>0</v>
      </c>
      <c r="D95" s="74">
        <f>IF(SUM($C$93:D93)-D94&gt;0,SUM($C$93:D93)-D94,)</f>
        <v>0</v>
      </c>
      <c r="E95" s="74">
        <f>IF(SUM($C$93:E93)-E94&gt;0,SUM($C$93:E93)-E94,)</f>
        <v>1155.9935172381843</v>
      </c>
      <c r="F95" s="74">
        <f>IF(SUM($C$93:F93)-F94&gt;0,SUM($C$93:F93)-F94,)</f>
        <v>2365.0573723543525</v>
      </c>
      <c r="G95" s="74">
        <f>IF(SUM($C$93:G93)-G94&gt;0,SUM($C$93:G93)-G94,)</f>
        <v>3522.0836867836006</v>
      </c>
      <c r="H95" s="74">
        <f>IF(SUM($C$93:H93)-H94&gt;0,SUM($C$93:H93)-H94,)</f>
        <v>3522.0836867836006</v>
      </c>
      <c r="I95" s="74">
        <f>IF(SUM($C$93:I93)-I94&gt;0,SUM($C$93:I93)-I94,)</f>
        <v>3522.0836867836006</v>
      </c>
      <c r="J95" s="74">
        <f>IF(SUM($C$93:J93)-J94&gt;0,SUM($C$93:J93)-J94,)</f>
        <v>3522.0836867836006</v>
      </c>
      <c r="K95" s="74">
        <f>IF(SUM($C$93:K93)-K94&gt;0,SUM($C$93:K93)-K94,)</f>
        <v>3522.0836867836006</v>
      </c>
      <c r="L95" s="74">
        <f>IF(SUM($C$93:L93)-L94&gt;0,SUM($C$93:L93)-L94,)</f>
        <v>3522.0836867836006</v>
      </c>
      <c r="M95" s="74">
        <f>IF(SUM($C$93:M93)-M94&gt;0,SUM($C$93:M93)-M94,)</f>
        <v>3522.0836867836006</v>
      </c>
      <c r="N95" s="74">
        <f>IF(SUM($C$93:N93)-N94&gt;0,SUM($C$93:N93)-N94,)</f>
        <v>3522.0836867836006</v>
      </c>
      <c r="O95" s="74">
        <f>IF(SUM($C$93:O93)-O94&gt;0,SUM($C$93:O93)-O94,)</f>
        <v>3522.0836867836006</v>
      </c>
      <c r="P95" s="74">
        <f>IF(SUM($C$93:P93)-P94&gt;0,SUM($C$93:P93)-P94,)</f>
        <v>3522.0836867836006</v>
      </c>
      <c r="Q95" s="74">
        <f>IF(SUM($C$93:Q93)-Q94&gt;0,SUM($C$93:Q93)-Q94,)</f>
        <v>3522.0836867836006</v>
      </c>
      <c r="R95" s="74">
        <f>IF(SUM($C$93:R93)-R94&gt;0,SUM($C$93:R93)-R94,)</f>
        <v>3522.0836867836006</v>
      </c>
      <c r="S95" s="74">
        <f>IF(SUM($C$93:S93)-S94&gt;0,SUM($C$93:S93)-S94,)</f>
        <v>3522.0836867836006</v>
      </c>
      <c r="T95" s="74">
        <f>IF(SUM($C$93:T93)-T94&gt;0,SUM($C$93:T93)-T94,)</f>
        <v>3522.0836867836006</v>
      </c>
      <c r="U95" s="74">
        <f>IF(SUM($C$93:U93)-U94&gt;0,SUM($C$93:U93)-U94,)</f>
        <v>3522.0836867836006</v>
      </c>
      <c r="V95" s="74">
        <f>IF(SUM($C$93:V93)-V94&gt;0,SUM($C$93:V93)-V94,)</f>
        <v>3522.0836867836006</v>
      </c>
      <c r="W95" s="74">
        <f>IF(SUM($C$93:W93)-W94&gt;0,SUM($C$93:W93)-W94,)</f>
        <v>3522.0836867836006</v>
      </c>
      <c r="X95" s="74">
        <f>IF(SUM($C$93:X93)-X94&gt;0,SUM($C$93:X93)-X94,)</f>
        <v>3522.0836867836006</v>
      </c>
      <c r="Y95" s="74">
        <f>IF(SUM($C$93:Y93)-Y94&gt;0,SUM($C$93:Y93)-Y94,)</f>
        <v>3522.0836867836006</v>
      </c>
      <c r="Z95" s="74">
        <f>IF(SUM($C$93:Z93)-Z94&gt;0,SUM($C$93:Z93)-Z94,)</f>
        <v>3522.0836867836006</v>
      </c>
      <c r="AA95" s="74">
        <f>IF(SUM($C$93:AA93)-AA94&gt;0,SUM($C$93:AA93)-AA94,)</f>
        <v>3522.0836867836006</v>
      </c>
      <c r="AC95" s="74">
        <f>IF(SUM($AC$93:AC93)-AC94&gt;0,SUM($AC$93:AC93)-AC94,)</f>
        <v>3522.0836867836006</v>
      </c>
      <c r="AD95" s="74">
        <f>IF(SUM($AC$93:AD93)-AD94&gt;0,SUM($AC$93:AD93)-AD94,)</f>
        <v>3522.0836867836006</v>
      </c>
      <c r="AE95" s="74">
        <f>IF(SUM($AC$93:AE93)-AE94&gt;0,SUM($AC$93:AE93)-AE94,)</f>
        <v>3522.0836867836006</v>
      </c>
      <c r="AF95" s="74">
        <f>IF(SUM($AC$93:AF93)-AF94&gt;0,SUM($AC$93:AF93)-AF94,)</f>
        <v>3522.0836867836006</v>
      </c>
      <c r="AG95" s="74">
        <f>IF(SUM($AC$93:AG93)-AG94&gt;0,SUM($AC$93:AG93)-AG94,)</f>
        <v>3522.0836867836006</v>
      </c>
      <c r="AH95" s="74">
        <f>IF(SUM($AC$93:AH93)-AH94&gt;0,SUM($AC$93:AH93)-AH94,)</f>
        <v>3522.0836867836006</v>
      </c>
    </row>
    <row r="98" spans="4:8">
      <c r="D98" s="101"/>
      <c r="E98" s="101"/>
    </row>
    <row r="99" spans="4:8">
      <c r="D99" s="101"/>
      <c r="E99" s="101"/>
    </row>
    <row r="100" spans="4:8">
      <c r="D100" s="102"/>
      <c r="E100" s="102"/>
    </row>
    <row r="101" spans="4:8">
      <c r="D101" s="102"/>
      <c r="E101" s="102"/>
      <c r="F101" s="102"/>
      <c r="G101" s="102"/>
      <c r="H101" s="102"/>
    </row>
    <row r="102" spans="4:8">
      <c r="D102" s="103"/>
      <c r="E102" s="104"/>
      <c r="F102" s="104"/>
      <c r="G102" s="104"/>
      <c r="H102" s="104"/>
    </row>
    <row r="103" spans="4:8">
      <c r="D103" s="103"/>
      <c r="E103" s="103"/>
    </row>
    <row r="104" spans="4:8">
      <c r="D104" s="103"/>
      <c r="E104" s="103"/>
    </row>
    <row r="105" spans="4:8">
      <c r="D105" s="103"/>
      <c r="E105" s="102"/>
    </row>
  </sheetData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6">
    <outlinePr summaryBelow="0"/>
  </sheetPr>
  <dimension ref="A2:AU165"/>
  <sheetViews>
    <sheetView zoomScale="85" zoomScaleNormal="85" workbookViewId="0">
      <pane xSplit="2" ySplit="6" topLeftCell="C52" activePane="bottomRight" state="frozen"/>
      <selection activeCell="A130" sqref="A130"/>
      <selection pane="topRight"/>
      <selection pane="bottomLeft"/>
      <selection pane="bottomRight" activeCell="E78" sqref="E78"/>
    </sheetView>
  </sheetViews>
  <sheetFormatPr defaultColWidth="9.109375" defaultRowHeight="13.2" outlineLevelRow="1"/>
  <cols>
    <col min="1" max="1" width="47.88671875" style="39" customWidth="1"/>
    <col min="2" max="2" width="11" style="39" customWidth="1"/>
    <col min="3" max="3" width="14.109375" style="40" customWidth="1"/>
    <col min="4" max="14" width="11.44140625" style="40" customWidth="1"/>
    <col min="15" max="15" width="11.33203125" style="40" customWidth="1"/>
    <col min="16" max="16" width="11.33203125" style="39" customWidth="1"/>
    <col min="17" max="27" width="11.33203125" style="40" customWidth="1"/>
    <col min="28" max="28" width="16.33203125" style="40" customWidth="1"/>
    <col min="29" max="74" width="9.33203125" style="40" bestFit="1" customWidth="1"/>
    <col min="75" max="81" width="9.44140625" style="40" bestFit="1" customWidth="1"/>
    <col min="82" max="16384" width="9.109375" style="40"/>
  </cols>
  <sheetData>
    <row r="2" spans="1:34" s="11" customFormat="1">
      <c r="A2" s="60" t="str">
        <f>'Титульный лист'!$B$2</f>
        <v>Бизнес-план проекта Indoor Air Technologies</v>
      </c>
      <c r="B2" s="77"/>
      <c r="C2" s="16"/>
      <c r="P2" s="105"/>
      <c r="Q2" s="13"/>
    </row>
    <row r="3" spans="1:34">
      <c r="G3" s="92">
        <f>G4</f>
        <v>2024</v>
      </c>
      <c r="K3" s="92">
        <f>G3+1</f>
        <v>2025</v>
      </c>
      <c r="L3" s="92"/>
      <c r="M3" s="92"/>
      <c r="N3" s="92"/>
      <c r="O3" s="92">
        <f t="shared" ref="O3:AA3" si="0">K3+1</f>
        <v>2026</v>
      </c>
      <c r="P3" s="92"/>
      <c r="Q3" s="92"/>
      <c r="R3" s="92"/>
      <c r="S3" s="92">
        <f t="shared" si="0"/>
        <v>2027</v>
      </c>
      <c r="T3" s="92"/>
      <c r="U3" s="92"/>
      <c r="V3" s="92"/>
      <c r="W3" s="92">
        <f t="shared" si="0"/>
        <v>2028</v>
      </c>
      <c r="X3" s="92"/>
      <c r="Y3" s="92"/>
      <c r="Z3" s="92"/>
      <c r="AA3" s="92">
        <f t="shared" si="0"/>
        <v>2029</v>
      </c>
    </row>
    <row r="4" spans="1:34" s="11" customFormat="1">
      <c r="A4" s="17" t="s">
        <v>229</v>
      </c>
      <c r="B4" s="15"/>
      <c r="C4" s="16"/>
      <c r="D4" s="83">
        <v>2024</v>
      </c>
      <c r="E4" s="83">
        <f>D4</f>
        <v>2024</v>
      </c>
      <c r="F4" s="83">
        <f t="shared" ref="F4:G4" si="1">E4</f>
        <v>2024</v>
      </c>
      <c r="G4" s="83">
        <f t="shared" si="1"/>
        <v>2024</v>
      </c>
      <c r="H4" s="83">
        <f>D4+1</f>
        <v>2025</v>
      </c>
      <c r="I4" s="83">
        <f t="shared" ref="I4:O4" si="2">E4+1</f>
        <v>2025</v>
      </c>
      <c r="J4" s="83">
        <f t="shared" si="2"/>
        <v>2025</v>
      </c>
      <c r="K4" s="83">
        <f t="shared" si="2"/>
        <v>2025</v>
      </c>
      <c r="L4" s="83">
        <f t="shared" si="2"/>
        <v>2026</v>
      </c>
      <c r="M4" s="83">
        <f t="shared" si="2"/>
        <v>2026</v>
      </c>
      <c r="N4" s="83">
        <f t="shared" si="2"/>
        <v>2026</v>
      </c>
      <c r="O4" s="83">
        <f t="shared" si="2"/>
        <v>2026</v>
      </c>
      <c r="P4" s="83">
        <f t="shared" ref="P4:AA4" si="3">L4+1</f>
        <v>2027</v>
      </c>
      <c r="Q4" s="83">
        <f t="shared" si="3"/>
        <v>2027</v>
      </c>
      <c r="R4" s="83">
        <f t="shared" si="3"/>
        <v>2027</v>
      </c>
      <c r="S4" s="83">
        <f t="shared" si="3"/>
        <v>2027</v>
      </c>
      <c r="T4" s="83">
        <f t="shared" si="3"/>
        <v>2028</v>
      </c>
      <c r="U4" s="83">
        <f t="shared" si="3"/>
        <v>2028</v>
      </c>
      <c r="V4" s="83">
        <f t="shared" si="3"/>
        <v>2028</v>
      </c>
      <c r="W4" s="83">
        <f t="shared" si="3"/>
        <v>2028</v>
      </c>
      <c r="X4" s="83">
        <f t="shared" si="3"/>
        <v>2029</v>
      </c>
      <c r="Y4" s="83">
        <f t="shared" si="3"/>
        <v>2029</v>
      </c>
      <c r="Z4" s="83">
        <f t="shared" si="3"/>
        <v>2029</v>
      </c>
      <c r="AA4" s="83">
        <f t="shared" si="3"/>
        <v>2029</v>
      </c>
      <c r="AC4" s="83"/>
      <c r="AD4" s="83"/>
      <c r="AE4" s="83"/>
      <c r="AF4" s="83"/>
      <c r="AG4" s="83"/>
      <c r="AH4" s="83"/>
    </row>
    <row r="5" spans="1:34" s="11" customFormat="1">
      <c r="A5" s="65" t="s">
        <v>19</v>
      </c>
      <c r="B5" s="79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2014</v>
      </c>
      <c r="AD5" s="67">
        <f>AC5+1</f>
        <v>2015</v>
      </c>
      <c r="AE5" s="67">
        <f t="shared" ref="AE5:AH5" si="4">AD5+1</f>
        <v>2016</v>
      </c>
      <c r="AF5" s="67">
        <f t="shared" si="4"/>
        <v>2017</v>
      </c>
      <c r="AG5" s="67">
        <f t="shared" si="4"/>
        <v>2018</v>
      </c>
      <c r="AH5" s="67">
        <f t="shared" si="4"/>
        <v>2019</v>
      </c>
    </row>
    <row r="6" spans="1:34" s="11" customFormat="1">
      <c r="A6" s="68" t="s">
        <v>46</v>
      </c>
      <c r="B6" s="80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/>
      <c r="AD6" s="69"/>
      <c r="AE6" s="69"/>
      <c r="AF6" s="69"/>
      <c r="AG6" s="69"/>
      <c r="AH6" s="69"/>
    </row>
    <row r="7" spans="1:34">
      <c r="A7" s="106" t="s">
        <v>230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C7" s="107"/>
      <c r="AD7" s="107"/>
      <c r="AE7" s="107"/>
      <c r="AF7" s="107"/>
      <c r="AG7" s="107"/>
      <c r="AH7" s="107"/>
    </row>
    <row r="8" spans="1:34">
      <c r="A8" s="38" t="s">
        <v>231</v>
      </c>
      <c r="B8" s="39" t="s">
        <v>96</v>
      </c>
      <c r="P8" s="40"/>
    </row>
    <row r="9" spans="1:34">
      <c r="A9" s="38" t="s">
        <v>232</v>
      </c>
      <c r="B9" s="39" t="s">
        <v>96</v>
      </c>
      <c r="P9" s="40"/>
    </row>
    <row r="10" spans="1:34">
      <c r="A10" s="39" t="s">
        <v>233</v>
      </c>
      <c r="B10" s="39" t="s">
        <v>96</v>
      </c>
      <c r="D10" s="40">
        <f>Инвестиции!D39</f>
        <v>0</v>
      </c>
      <c r="E10" s="40">
        <f>Инвестиции!E39</f>
        <v>0</v>
      </c>
      <c r="F10" s="40">
        <f>Инвестиции!F39</f>
        <v>0</v>
      </c>
      <c r="G10" s="40">
        <f>Инвестиции!G39</f>
        <v>0</v>
      </c>
      <c r="H10" s="40">
        <f>Инвестиции!H39</f>
        <v>0</v>
      </c>
      <c r="I10" s="40">
        <f>Инвестиции!I39</f>
        <v>0</v>
      </c>
      <c r="J10" s="40">
        <f>Инвестиции!J39</f>
        <v>0</v>
      </c>
      <c r="K10" s="40">
        <f>Инвестиции!K39</f>
        <v>0</v>
      </c>
      <c r="L10" s="40">
        <f>Инвестиции!L39</f>
        <v>0</v>
      </c>
      <c r="M10" s="40">
        <f>Инвестиции!M39</f>
        <v>0</v>
      </c>
      <c r="N10" s="40">
        <f>Инвестиции!N39</f>
        <v>0</v>
      </c>
      <c r="O10" s="40">
        <f>Инвестиции!O39</f>
        <v>0</v>
      </c>
      <c r="P10" s="40">
        <f>Инвестиции!P39</f>
        <v>0</v>
      </c>
      <c r="Q10" s="40">
        <f>Инвестиции!Q39</f>
        <v>0</v>
      </c>
      <c r="R10" s="40">
        <f>Инвестиции!R39</f>
        <v>0</v>
      </c>
      <c r="S10" s="40">
        <f>Инвестиции!S39</f>
        <v>0</v>
      </c>
      <c r="T10" s="40">
        <f>Инвестиции!T39</f>
        <v>0</v>
      </c>
      <c r="U10" s="40">
        <f>Инвестиции!U39</f>
        <v>0</v>
      </c>
      <c r="V10" s="40">
        <f>Инвестиции!V39</f>
        <v>0</v>
      </c>
      <c r="W10" s="40">
        <f>Инвестиции!W39</f>
        <v>0</v>
      </c>
      <c r="X10" s="40">
        <f>Инвестиции!X39</f>
        <v>0</v>
      </c>
      <c r="Y10" s="40">
        <f>Инвестиции!Y39</f>
        <v>0</v>
      </c>
      <c r="Z10" s="40">
        <f>Инвестиции!Z39</f>
        <v>0</v>
      </c>
      <c r="AA10" s="40">
        <f>Инвестиции!AA39</f>
        <v>0</v>
      </c>
      <c r="AC10" s="40">
        <f t="shared" ref="AC10:AC12" si="5">SUMIF($D$3:$AA$3,AC$5,$D10:$AA10)</f>
        <v>0</v>
      </c>
      <c r="AD10" s="40">
        <f t="shared" ref="AD10:AH12" si="6">SUMIF($D$3:$AA$3,AD$5,$D10:$AA10)</f>
        <v>0</v>
      </c>
      <c r="AE10" s="40">
        <f t="shared" si="6"/>
        <v>0</v>
      </c>
      <c r="AF10" s="40">
        <f t="shared" si="6"/>
        <v>0</v>
      </c>
      <c r="AG10" s="40">
        <f t="shared" si="6"/>
        <v>0</v>
      </c>
      <c r="AH10" s="40">
        <f t="shared" si="6"/>
        <v>0</v>
      </c>
    </row>
    <row r="11" spans="1:34">
      <c r="A11" s="39" t="s">
        <v>234</v>
      </c>
      <c r="B11" s="39" t="s">
        <v>96</v>
      </c>
      <c r="P11" s="40"/>
      <c r="AC11" s="40">
        <f t="shared" si="5"/>
        <v>0</v>
      </c>
      <c r="AD11" s="40">
        <f t="shared" si="6"/>
        <v>0</v>
      </c>
      <c r="AE11" s="40">
        <f t="shared" si="6"/>
        <v>0</v>
      </c>
      <c r="AF11" s="40">
        <f t="shared" si="6"/>
        <v>0</v>
      </c>
      <c r="AG11" s="40">
        <f t="shared" si="6"/>
        <v>0</v>
      </c>
      <c r="AH11" s="40">
        <f t="shared" si="6"/>
        <v>0</v>
      </c>
    </row>
    <row r="12" spans="1:34">
      <c r="A12" s="39" t="s">
        <v>235</v>
      </c>
      <c r="B12" s="39" t="s">
        <v>96</v>
      </c>
      <c r="D12" s="40">
        <f>-D60*Предположения!D16</f>
        <v>0</v>
      </c>
      <c r="E12" s="40">
        <f>-E60*Предположения!E16</f>
        <v>288.22019562272777</v>
      </c>
      <c r="F12" s="40">
        <f>-F60*Предположения!F16</f>
        <v>575.77702300914189</v>
      </c>
      <c r="G12" s="40">
        <f>-G60*Предположения!G16</f>
        <v>869.04583347630501</v>
      </c>
      <c r="H12" s="40">
        <f>-H60*Предположения!H16</f>
        <v>1056.1043031429847</v>
      </c>
      <c r="I12" s="40">
        <f>-I60*Предположения!I16</f>
        <v>1208.1008853142569</v>
      </c>
      <c r="J12" s="40">
        <f>-J60*Предположения!J16</f>
        <v>1323.0427654390305</v>
      </c>
      <c r="K12" s="40">
        <f>-K60*Предположения!K16</f>
        <v>1403.6997699263945</v>
      </c>
      <c r="L12" s="40">
        <f>-L60*Предположения!L16</f>
        <v>1437.7552833476173</v>
      </c>
      <c r="M12" s="40">
        <f>-M60*Предположения!M16</f>
        <v>1427.6384279375065</v>
      </c>
      <c r="N12" s="40">
        <f>-N60*Предположения!N16</f>
        <v>1370.8172786143955</v>
      </c>
      <c r="O12" s="40">
        <f>-O60*Предположения!O16</f>
        <v>1269.4942703761478</v>
      </c>
      <c r="P12" s="40">
        <f>-P60*Предположения!P16</f>
        <v>1109.4471566958468</v>
      </c>
      <c r="Q12" s="40">
        <f>-Q60*Предположения!Q16</f>
        <v>892.19000035487932</v>
      </c>
      <c r="R12" s="40">
        <f>-R60*Предположения!R16</f>
        <v>614.21774228272204</v>
      </c>
      <c r="S12" s="40">
        <f>-S60*Предположения!S16</f>
        <v>276.69839214310167</v>
      </c>
      <c r="T12" s="40">
        <f>-T60*Предположения!T16</f>
        <v>0</v>
      </c>
      <c r="U12" s="40">
        <f>-U60*Предположения!U16</f>
        <v>0</v>
      </c>
      <c r="V12" s="40">
        <f>-V60*Предположения!V16</f>
        <v>0</v>
      </c>
      <c r="W12" s="40">
        <f>-W60*Предположения!W16</f>
        <v>0</v>
      </c>
      <c r="X12" s="40">
        <f>-X60*Предположения!X16</f>
        <v>0</v>
      </c>
      <c r="Y12" s="40">
        <f>-Y60*Предположения!Y16</f>
        <v>0</v>
      </c>
      <c r="Z12" s="40">
        <f>-Z60*Предположения!Z16</f>
        <v>0</v>
      </c>
      <c r="AA12" s="40">
        <f>-AA60*Предположения!AA16</f>
        <v>0</v>
      </c>
      <c r="AC12" s="40">
        <f t="shared" si="5"/>
        <v>0</v>
      </c>
      <c r="AD12" s="40">
        <f t="shared" si="6"/>
        <v>0</v>
      </c>
      <c r="AE12" s="40">
        <f t="shared" si="6"/>
        <v>0</v>
      </c>
      <c r="AF12" s="40">
        <f t="shared" si="6"/>
        <v>0</v>
      </c>
      <c r="AG12" s="40">
        <f t="shared" si="6"/>
        <v>0</v>
      </c>
      <c r="AH12" s="40">
        <f t="shared" si="6"/>
        <v>0</v>
      </c>
    </row>
    <row r="13" spans="1:34">
      <c r="A13" s="73" t="s">
        <v>236</v>
      </c>
      <c r="B13" s="73" t="s">
        <v>96</v>
      </c>
      <c r="C13" s="74"/>
      <c r="D13" s="74">
        <f t="shared" ref="D13:W13" si="7">SUM(D10:D12)</f>
        <v>0</v>
      </c>
      <c r="E13" s="74">
        <f t="shared" si="7"/>
        <v>288.22019562272777</v>
      </c>
      <c r="F13" s="74">
        <f t="shared" si="7"/>
        <v>575.77702300914189</v>
      </c>
      <c r="G13" s="74">
        <f t="shared" si="7"/>
        <v>869.04583347630501</v>
      </c>
      <c r="H13" s="74">
        <f t="shared" si="7"/>
        <v>1056.1043031429847</v>
      </c>
      <c r="I13" s="74">
        <f t="shared" si="7"/>
        <v>1208.1008853142569</v>
      </c>
      <c r="J13" s="74">
        <f t="shared" si="7"/>
        <v>1323.0427654390305</v>
      </c>
      <c r="K13" s="74">
        <f t="shared" si="7"/>
        <v>1403.6997699263945</v>
      </c>
      <c r="L13" s="74">
        <f t="shared" si="7"/>
        <v>1437.7552833476173</v>
      </c>
      <c r="M13" s="74">
        <f t="shared" si="7"/>
        <v>1427.6384279375065</v>
      </c>
      <c r="N13" s="74">
        <f t="shared" si="7"/>
        <v>1370.8172786143955</v>
      </c>
      <c r="O13" s="74">
        <f t="shared" si="7"/>
        <v>1269.4942703761478</v>
      </c>
      <c r="P13" s="74">
        <f t="shared" si="7"/>
        <v>1109.4471566958468</v>
      </c>
      <c r="Q13" s="74">
        <f t="shared" si="7"/>
        <v>892.19000035487932</v>
      </c>
      <c r="R13" s="74">
        <f t="shared" si="7"/>
        <v>614.21774228272204</v>
      </c>
      <c r="S13" s="74">
        <f t="shared" si="7"/>
        <v>276.69839214310167</v>
      </c>
      <c r="T13" s="74">
        <f t="shared" si="7"/>
        <v>0</v>
      </c>
      <c r="U13" s="74">
        <f t="shared" si="7"/>
        <v>0</v>
      </c>
      <c r="V13" s="74">
        <f t="shared" si="7"/>
        <v>0</v>
      </c>
      <c r="W13" s="74">
        <f t="shared" si="7"/>
        <v>0</v>
      </c>
      <c r="X13" s="74">
        <f t="shared" ref="X13:AA13" si="8">SUM(X10:X12)</f>
        <v>0</v>
      </c>
      <c r="Y13" s="74">
        <f t="shared" si="8"/>
        <v>0</v>
      </c>
      <c r="Z13" s="74">
        <f t="shared" si="8"/>
        <v>0</v>
      </c>
      <c r="AA13" s="74">
        <f t="shared" si="8"/>
        <v>0</v>
      </c>
      <c r="AC13" s="74">
        <f t="shared" ref="AC13:AH13" si="9">SUM(AC10:AC12)</f>
        <v>0</v>
      </c>
      <c r="AD13" s="74">
        <f t="shared" si="9"/>
        <v>0</v>
      </c>
      <c r="AE13" s="74">
        <f t="shared" si="9"/>
        <v>0</v>
      </c>
      <c r="AF13" s="74">
        <f t="shared" si="9"/>
        <v>0</v>
      </c>
      <c r="AG13" s="74">
        <f t="shared" si="9"/>
        <v>0</v>
      </c>
      <c r="AH13" s="74">
        <f t="shared" si="9"/>
        <v>0</v>
      </c>
    </row>
    <row r="14" spans="1:34" ht="8.25" customHeight="1">
      <c r="P14" s="40"/>
    </row>
    <row r="15" spans="1:34">
      <c r="A15" s="38" t="s">
        <v>237</v>
      </c>
      <c r="B15" s="39" t="s">
        <v>96</v>
      </c>
      <c r="P15" s="40"/>
    </row>
    <row r="16" spans="1:34">
      <c r="A16" s="39" t="s">
        <v>106</v>
      </c>
      <c r="B16" s="39" t="s">
        <v>96</v>
      </c>
      <c r="D16" s="40">
        <f>'Оборотный капитал'!D10</f>
        <v>0</v>
      </c>
      <c r="E16" s="40">
        <f>'Оборотный капитал'!E10</f>
        <v>0</v>
      </c>
      <c r="F16" s="40">
        <f>'Оборотный капитал'!F10</f>
        <v>6.1367814783036456</v>
      </c>
      <c r="G16" s="40">
        <f>'Оборотный капитал'!G10</f>
        <v>2.9764383561643832</v>
      </c>
      <c r="H16" s="40">
        <f>'Оборотный капитал'!H10</f>
        <v>56.269416038868577</v>
      </c>
      <c r="I16" s="40">
        <f>'Оборотный капитал'!I10</f>
        <v>75.765161790605418</v>
      </c>
      <c r="J16" s="40">
        <f>'Оборотный капитал'!J10</f>
        <v>96.367702728912178</v>
      </c>
      <c r="K16" s="40">
        <f>'Оборотный капитал'!K10</f>
        <v>121.10197591430516</v>
      </c>
      <c r="L16" s="40">
        <f>'Оборотный капитал'!L10</f>
        <v>141.33944896745379</v>
      </c>
      <c r="M16" s="40">
        <f>'Оборотный капитал'!M10</f>
        <v>165.89792059799075</v>
      </c>
      <c r="N16" s="40">
        <f>'Оборотный капитал'!N10</f>
        <v>191.86260351608999</v>
      </c>
      <c r="O16" s="40">
        <f>'Оборотный капитал'!O10</f>
        <v>222.27413632210173</v>
      </c>
      <c r="P16" s="40">
        <f>'Оборотный капитал'!P10</f>
        <v>249.2511610080206</v>
      </c>
      <c r="Q16" s="40">
        <f>'Оборотный капитал'!Q10</f>
        <v>281.05752418110455</v>
      </c>
      <c r="R16" s="40">
        <f>'Оборотный капитал'!R10</f>
        <v>314.8106861502684</v>
      </c>
      <c r="S16" s="40">
        <f>'Оборотный капитал'!S10</f>
        <v>353.58531888463256</v>
      </c>
      <c r="T16" s="40">
        <f>'Оборотный капитал'!T10</f>
        <v>381.88079843701604</v>
      </c>
      <c r="U16" s="40">
        <f>'Оборотный капитал'!U10</f>
        <v>414.15344098946542</v>
      </c>
      <c r="V16" s="40">
        <f>'Оборотный капитал'!V10</f>
        <v>421.51322436463425</v>
      </c>
      <c r="W16" s="40">
        <f>'Оборотный капитал'!W10</f>
        <v>431.98023436419953</v>
      </c>
      <c r="X16" s="40">
        <f>'Оборотный капитал'!X10</f>
        <v>435.91361754737392</v>
      </c>
      <c r="Y16" s="40">
        <f>'Оборотный капитал'!Y10</f>
        <v>442.93473328538812</v>
      </c>
      <c r="Z16" s="40">
        <f>'Оборотный капитал'!Z10</f>
        <v>450.06893580074131</v>
      </c>
      <c r="AA16" s="40">
        <f>'Оборотный капитал'!AA10</f>
        <v>460.29448490072997</v>
      </c>
      <c r="AC16" s="40">
        <f t="shared" ref="AC16:AH20" si="10">SUMIF($D$3:$AA$3,AC$5,$D16:$AA16)</f>
        <v>0</v>
      </c>
      <c r="AD16" s="40">
        <f t="shared" si="10"/>
        <v>0</v>
      </c>
      <c r="AE16" s="40">
        <f t="shared" si="10"/>
        <v>0</v>
      </c>
      <c r="AF16" s="40">
        <f t="shared" si="10"/>
        <v>0</v>
      </c>
      <c r="AG16" s="40">
        <f t="shared" si="10"/>
        <v>0</v>
      </c>
      <c r="AH16" s="40">
        <f t="shared" si="10"/>
        <v>0</v>
      </c>
    </row>
    <row r="17" spans="1:34">
      <c r="A17" s="39" t="s">
        <v>223</v>
      </c>
      <c r="B17" s="39" t="s">
        <v>96</v>
      </c>
      <c r="D17" s="40">
        <f>'Оборотный капитал'!D32</f>
        <v>0</v>
      </c>
      <c r="E17" s="40">
        <f>'Оборотный капитал'!E32</f>
        <v>0</v>
      </c>
      <c r="F17" s="40">
        <f>'Оборотный капитал'!F32</f>
        <v>0</v>
      </c>
      <c r="G17" s="40">
        <f>'Оборотный капитал'!G32</f>
        <v>0</v>
      </c>
      <c r="H17" s="40">
        <f>'Оборотный капитал'!H32</f>
        <v>0</v>
      </c>
      <c r="I17" s="40">
        <f>'Оборотный капитал'!I32</f>
        <v>0</v>
      </c>
      <c r="J17" s="40">
        <f>'Оборотный капитал'!J32</f>
        <v>0</v>
      </c>
      <c r="K17" s="40">
        <f>'Оборотный капитал'!K32</f>
        <v>0</v>
      </c>
      <c r="L17" s="40">
        <f>'Оборотный капитал'!L32</f>
        <v>0</v>
      </c>
      <c r="M17" s="40">
        <f>'Оборотный капитал'!M32</f>
        <v>0</v>
      </c>
      <c r="N17" s="40">
        <f>'Оборотный капитал'!N32</f>
        <v>0</v>
      </c>
      <c r="O17" s="40">
        <f>'Оборотный капитал'!O32</f>
        <v>0</v>
      </c>
      <c r="P17" s="40">
        <f>'Оборотный капитал'!P32</f>
        <v>0</v>
      </c>
      <c r="Q17" s="40">
        <f>'Оборотный капитал'!Q32</f>
        <v>0</v>
      </c>
      <c r="R17" s="40">
        <f>'Оборотный капитал'!R32</f>
        <v>0</v>
      </c>
      <c r="S17" s="40">
        <f>'Оборотный капитал'!S32</f>
        <v>0</v>
      </c>
      <c r="T17" s="40">
        <f>'Оборотный капитал'!T32</f>
        <v>0</v>
      </c>
      <c r="U17" s="40">
        <f>'Оборотный капитал'!U32</f>
        <v>0</v>
      </c>
      <c r="V17" s="40">
        <f>'Оборотный капитал'!V32</f>
        <v>0</v>
      </c>
      <c r="W17" s="40">
        <f>'Оборотный капитал'!W32</f>
        <v>0</v>
      </c>
      <c r="X17" s="40">
        <f>'Оборотный капитал'!X32</f>
        <v>0</v>
      </c>
      <c r="Y17" s="40">
        <f>'Оборотный капитал'!Y32</f>
        <v>0</v>
      </c>
      <c r="Z17" s="40">
        <f>'Оборотный капитал'!Z32</f>
        <v>0</v>
      </c>
      <c r="AA17" s="40">
        <f>'Оборотный капитал'!AA32</f>
        <v>0</v>
      </c>
      <c r="AC17" s="40">
        <f t="shared" si="10"/>
        <v>0</v>
      </c>
      <c r="AD17" s="40">
        <f t="shared" si="10"/>
        <v>0</v>
      </c>
      <c r="AE17" s="40">
        <f t="shared" si="10"/>
        <v>0</v>
      </c>
      <c r="AF17" s="40">
        <f t="shared" si="10"/>
        <v>0</v>
      </c>
      <c r="AG17" s="40">
        <f t="shared" si="10"/>
        <v>0</v>
      </c>
      <c r="AH17" s="40">
        <f t="shared" si="10"/>
        <v>0</v>
      </c>
    </row>
    <row r="18" spans="1:34">
      <c r="A18" s="39" t="s">
        <v>215</v>
      </c>
      <c r="B18" s="39" t="s">
        <v>96</v>
      </c>
      <c r="D18" s="40">
        <f>'Оборотный капитал'!D27</f>
        <v>0</v>
      </c>
      <c r="E18" s="40">
        <f>'Оборотный капитал'!E27</f>
        <v>3.1127347472732936</v>
      </c>
      <c r="F18" s="40">
        <f>'Оборотный капитал'!F27</f>
        <v>5.4294276109702828</v>
      </c>
      <c r="G18" s="40">
        <f>'Оборотный капитал'!G27</f>
        <v>14.600500171565926</v>
      </c>
      <c r="H18" s="40">
        <f>'Оборотный капитал'!H27</f>
        <v>0</v>
      </c>
      <c r="I18" s="40">
        <f>'Оборотный капитал'!I27</f>
        <v>0</v>
      </c>
      <c r="J18" s="40">
        <f>'Оборотный капитал'!J27</f>
        <v>0</v>
      </c>
      <c r="K18" s="40">
        <f>'Оборотный капитал'!K27</f>
        <v>0</v>
      </c>
      <c r="L18" s="40">
        <f>'Оборотный капитал'!L27</f>
        <v>0</v>
      </c>
      <c r="M18" s="40">
        <f>'Оборотный капитал'!M27</f>
        <v>0</v>
      </c>
      <c r="N18" s="40">
        <f>'Оборотный капитал'!N27</f>
        <v>0</v>
      </c>
      <c r="O18" s="40">
        <f>'Оборотный капитал'!O27</f>
        <v>0</v>
      </c>
      <c r="P18" s="40">
        <f>'Оборотный капитал'!P27</f>
        <v>0</v>
      </c>
      <c r="Q18" s="40">
        <f>'Оборотный капитал'!Q27</f>
        <v>0</v>
      </c>
      <c r="R18" s="40">
        <f>'Оборотный капитал'!R27</f>
        <v>0</v>
      </c>
      <c r="S18" s="40">
        <f>'Оборотный капитал'!S27</f>
        <v>0</v>
      </c>
      <c r="T18" s="40">
        <f>'Оборотный капитал'!T27</f>
        <v>0</v>
      </c>
      <c r="U18" s="40">
        <f>'Оборотный капитал'!U27</f>
        <v>0</v>
      </c>
      <c r="V18" s="40">
        <f>'Оборотный капитал'!V27</f>
        <v>0</v>
      </c>
      <c r="W18" s="40">
        <f>'Оборотный капитал'!W27</f>
        <v>0</v>
      </c>
      <c r="X18" s="40">
        <f>'Оборотный капитал'!X27</f>
        <v>0</v>
      </c>
      <c r="Y18" s="40">
        <f>'Оборотный капитал'!Y27</f>
        <v>0</v>
      </c>
      <c r="Z18" s="40">
        <f>'Оборотный капитал'!Z27</f>
        <v>0</v>
      </c>
      <c r="AA18" s="40">
        <f>'Оборотный капитал'!AA27</f>
        <v>0</v>
      </c>
      <c r="AC18" s="40">
        <f t="shared" si="10"/>
        <v>0</v>
      </c>
      <c r="AD18" s="40">
        <f t="shared" si="10"/>
        <v>0</v>
      </c>
      <c r="AE18" s="40">
        <f t="shared" si="10"/>
        <v>0</v>
      </c>
      <c r="AF18" s="40">
        <f t="shared" si="10"/>
        <v>0</v>
      </c>
      <c r="AG18" s="40">
        <f t="shared" si="10"/>
        <v>0</v>
      </c>
      <c r="AH18" s="40">
        <f t="shared" si="10"/>
        <v>0</v>
      </c>
    </row>
    <row r="19" spans="1:34">
      <c r="A19" s="39" t="s">
        <v>109</v>
      </c>
      <c r="B19" s="39" t="s">
        <v>96</v>
      </c>
      <c r="D19" s="40">
        <f>'Оборотный капитал'!D14</f>
        <v>0</v>
      </c>
      <c r="E19" s="40">
        <f>'Оборотный капитал'!E14</f>
        <v>0</v>
      </c>
      <c r="F19" s="40">
        <f>'Оборотный капитал'!F14</f>
        <v>0.95291637861857859</v>
      </c>
      <c r="G19" s="40">
        <f>'Оборотный капитал'!G14</f>
        <v>0</v>
      </c>
      <c r="H19" s="40">
        <f>'Оборотный капитал'!H14</f>
        <v>17.10316596926096</v>
      </c>
      <c r="I19" s="40">
        <f>'Оборотный капитал'!I14</f>
        <v>23.028924556415024</v>
      </c>
      <c r="J19" s="40">
        <f>'Оборотный капитал'!J14</f>
        <v>29.291095054380598</v>
      </c>
      <c r="K19" s="40">
        <f>'Оборотный капитал'!K14</f>
        <v>35.904418710681085</v>
      </c>
      <c r="L19" s="40">
        <f>'Оборотный капитал'!L14</f>
        <v>42.960318835092338</v>
      </c>
      <c r="M19" s="40">
        <f>'Оборотный капитал'!M14</f>
        <v>50.424899877808727</v>
      </c>
      <c r="N19" s="40">
        <f>'Оборотный капитал'!N14</f>
        <v>58.316900764768974</v>
      </c>
      <c r="O19" s="40">
        <f>'Оборотный капитал'!O14</f>
        <v>66.655835248005246</v>
      </c>
      <c r="P19" s="40">
        <f>'Оборотный капитал'!P14</f>
        <v>75.760231309428747</v>
      </c>
      <c r="Q19" s="40">
        <f>'Оборотный капитал'!Q14</f>
        <v>85.427818900031767</v>
      </c>
      <c r="R19" s="40">
        <f>'Оборотный капитал'!R14</f>
        <v>95.68713864749796</v>
      </c>
      <c r="S19" s="40">
        <f>'Оборотный капитал'!S14</f>
        <v>106.56804879284743</v>
      </c>
      <c r="T19" s="40">
        <f>'Оборотный капитал'!T14</f>
        <v>116.07319101429054</v>
      </c>
      <c r="U19" s="40">
        <f>'Оборотный капитал'!U14</f>
        <v>125.88250486001985</v>
      </c>
      <c r="V19" s="40">
        <f>'Оборотный капитал'!V14</f>
        <v>128.11952108347541</v>
      </c>
      <c r="W19" s="40">
        <f>'Оборотный капитал'!W14</f>
        <v>130.39629057994986</v>
      </c>
      <c r="X19" s="40">
        <f>'Оборотный капитал'!X14</f>
        <v>132.49654028795553</v>
      </c>
      <c r="Y19" s="40">
        <f>'Оборотный капитал'!Y14</f>
        <v>134.63061801987479</v>
      </c>
      <c r="Z19" s="40">
        <f>'Оборотный капитал'!Z14</f>
        <v>136.79906863244415</v>
      </c>
      <c r="AA19" s="40">
        <f>'Оборотный капитал'!AA14</f>
        <v>139.00244575822657</v>
      </c>
      <c r="AC19" s="40">
        <f t="shared" si="10"/>
        <v>0</v>
      </c>
      <c r="AD19" s="40">
        <f t="shared" si="10"/>
        <v>0</v>
      </c>
      <c r="AE19" s="40">
        <f t="shared" si="10"/>
        <v>0</v>
      </c>
      <c r="AF19" s="40">
        <f t="shared" si="10"/>
        <v>0</v>
      </c>
      <c r="AG19" s="40">
        <f t="shared" si="10"/>
        <v>0</v>
      </c>
      <c r="AH19" s="40">
        <f t="shared" si="10"/>
        <v>0</v>
      </c>
    </row>
    <row r="20" spans="1:34">
      <c r="A20" s="39" t="s">
        <v>238</v>
      </c>
      <c r="B20" s="39" t="s">
        <v>96</v>
      </c>
      <c r="D20" s="40">
        <f>D94</f>
        <v>0</v>
      </c>
      <c r="E20" s="40">
        <f t="shared" ref="E20:O20" si="11">E94</f>
        <v>758.05859670635232</v>
      </c>
      <c r="F20" s="40">
        <f t="shared" si="11"/>
        <v>834.33149358093624</v>
      </c>
      <c r="G20" s="40">
        <f t="shared" si="11"/>
        <v>799.66055968894216</v>
      </c>
      <c r="H20" s="40">
        <f t="shared" si="11"/>
        <v>229.3782709526281</v>
      </c>
      <c r="I20" s="40">
        <f t="shared" si="11"/>
        <v>-318.47437156793853</v>
      </c>
      <c r="J20" s="40">
        <f t="shared" si="11"/>
        <v>-714.70043093321078</v>
      </c>
      <c r="K20" s="40">
        <f t="shared" si="11"/>
        <v>-960.45025552003938</v>
      </c>
      <c r="L20" s="40">
        <f t="shared" si="11"/>
        <v>-1034.8569839200038</v>
      </c>
      <c r="M20" s="40">
        <f t="shared" si="11"/>
        <v>-918.65456470715822</v>
      </c>
      <c r="N20" s="40">
        <f t="shared" si="11"/>
        <v>-611.30531545063855</v>
      </c>
      <c r="O20" s="40">
        <f t="shared" si="11"/>
        <v>-111.64170038167367</v>
      </c>
      <c r="P20" s="40">
        <f t="shared" ref="P20:W20" si="12">P94</f>
        <v>611.14477372428701</v>
      </c>
      <c r="Q20" s="40">
        <f t="shared" si="12"/>
        <v>1578.2568268528626</v>
      </c>
      <c r="R20" s="40">
        <f t="shared" si="12"/>
        <v>2794.2239351585949</v>
      </c>
      <c r="S20" s="40">
        <f t="shared" si="12"/>
        <v>4264.4560879245191</v>
      </c>
      <c r="T20" s="40">
        <f t="shared" si="12"/>
        <v>5823.6850597004814</v>
      </c>
      <c r="U20" s="40">
        <f t="shared" si="12"/>
        <v>7293.3967011825935</v>
      </c>
      <c r="V20" s="40">
        <f t="shared" si="12"/>
        <v>8726.1351239389078</v>
      </c>
      <c r="W20" s="40">
        <f t="shared" si="12"/>
        <v>10194.791299757462</v>
      </c>
      <c r="X20" s="40">
        <f t="shared" ref="X20:AA20" si="13">X94</f>
        <v>11693.797260562502</v>
      </c>
      <c r="Y20" s="40">
        <f t="shared" si="13"/>
        <v>13240.685918120556</v>
      </c>
      <c r="Z20" s="40">
        <f t="shared" si="13"/>
        <v>14826.291258288089</v>
      </c>
      <c r="AA20" s="40">
        <f t="shared" si="13"/>
        <v>16446.466603829675</v>
      </c>
      <c r="AC20" s="40">
        <f t="shared" si="10"/>
        <v>0</v>
      </c>
      <c r="AD20" s="40">
        <f t="shared" si="10"/>
        <v>0</v>
      </c>
      <c r="AE20" s="40">
        <f t="shared" si="10"/>
        <v>0</v>
      </c>
      <c r="AF20" s="40">
        <f t="shared" si="10"/>
        <v>0</v>
      </c>
      <c r="AG20" s="40">
        <f t="shared" si="10"/>
        <v>0</v>
      </c>
      <c r="AH20" s="40">
        <f t="shared" si="10"/>
        <v>0</v>
      </c>
    </row>
    <row r="21" spans="1:34">
      <c r="A21" s="73" t="s">
        <v>239</v>
      </c>
      <c r="B21" s="73" t="s">
        <v>96</v>
      </c>
      <c r="C21" s="74"/>
      <c r="D21" s="74">
        <f t="shared" ref="D21:O21" si="14">SUM(D16:D20)</f>
        <v>0</v>
      </c>
      <c r="E21" s="74">
        <f t="shared" si="14"/>
        <v>761.17133145362561</v>
      </c>
      <c r="F21" s="74">
        <f t="shared" si="14"/>
        <v>846.85061904882878</v>
      </c>
      <c r="G21" s="74">
        <f t="shared" si="14"/>
        <v>817.23749821667252</v>
      </c>
      <c r="H21" s="74">
        <f t="shared" si="14"/>
        <v>302.75085296075764</v>
      </c>
      <c r="I21" s="74">
        <f t="shared" si="14"/>
        <v>-219.68028522091811</v>
      </c>
      <c r="J21" s="74">
        <f t="shared" si="14"/>
        <v>-589.04163314991797</v>
      </c>
      <c r="K21" s="74">
        <f t="shared" si="14"/>
        <v>-803.44386089505315</v>
      </c>
      <c r="L21" s="74">
        <f t="shared" si="14"/>
        <v>-850.55721611745776</v>
      </c>
      <c r="M21" s="74">
        <f t="shared" si="14"/>
        <v>-702.3317442313587</v>
      </c>
      <c r="N21" s="74">
        <f t="shared" si="14"/>
        <v>-361.12581116977958</v>
      </c>
      <c r="O21" s="74">
        <f t="shared" si="14"/>
        <v>177.28827118843333</v>
      </c>
      <c r="P21" s="74">
        <f t="shared" ref="P21:W21" si="15">SUM(P16:P20)</f>
        <v>936.15616604173636</v>
      </c>
      <c r="Q21" s="74">
        <f t="shared" si="15"/>
        <v>1944.7421699339989</v>
      </c>
      <c r="R21" s="74">
        <f t="shared" si="15"/>
        <v>3204.7217599563614</v>
      </c>
      <c r="S21" s="74">
        <f t="shared" si="15"/>
        <v>4724.6094556019989</v>
      </c>
      <c r="T21" s="74">
        <f t="shared" si="15"/>
        <v>6321.6390491517877</v>
      </c>
      <c r="U21" s="74">
        <f t="shared" si="15"/>
        <v>7833.4326470320784</v>
      </c>
      <c r="V21" s="74">
        <f t="shared" si="15"/>
        <v>9275.7678693870166</v>
      </c>
      <c r="W21" s="74">
        <f t="shared" si="15"/>
        <v>10757.167824701612</v>
      </c>
      <c r="X21" s="74">
        <f t="shared" ref="X21:AA21" si="16">SUM(X16:X20)</f>
        <v>12262.207418397831</v>
      </c>
      <c r="Y21" s="74">
        <f t="shared" si="16"/>
        <v>13818.251269425818</v>
      </c>
      <c r="Z21" s="74">
        <f t="shared" si="16"/>
        <v>15413.159262721274</v>
      </c>
      <c r="AA21" s="74">
        <f t="shared" si="16"/>
        <v>17045.763534488629</v>
      </c>
      <c r="AC21" s="74">
        <f t="shared" ref="AC21:AH21" si="17">SUM(AC16:AC20)</f>
        <v>0</v>
      </c>
      <c r="AD21" s="74">
        <f t="shared" si="17"/>
        <v>0</v>
      </c>
      <c r="AE21" s="74">
        <f t="shared" si="17"/>
        <v>0</v>
      </c>
      <c r="AF21" s="74">
        <f t="shared" si="17"/>
        <v>0</v>
      </c>
      <c r="AG21" s="74">
        <f t="shared" si="17"/>
        <v>0</v>
      </c>
      <c r="AH21" s="74">
        <f t="shared" si="17"/>
        <v>0</v>
      </c>
    </row>
    <row r="22" spans="1:34" ht="9" customHeight="1">
      <c r="A22" s="73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C22" s="74"/>
      <c r="AD22" s="74"/>
      <c r="AE22" s="74"/>
      <c r="AF22" s="74"/>
      <c r="AG22" s="74"/>
      <c r="AH22" s="74"/>
    </row>
    <row r="23" spans="1:34">
      <c r="A23" s="73" t="s">
        <v>240</v>
      </c>
      <c r="B23" s="73" t="s">
        <v>96</v>
      </c>
      <c r="C23" s="74"/>
      <c r="D23" s="74">
        <f t="shared" ref="D23:O23" si="18">SUM(D21,D13)</f>
        <v>0</v>
      </c>
      <c r="E23" s="74">
        <f t="shared" si="18"/>
        <v>1049.3915270763534</v>
      </c>
      <c r="F23" s="74">
        <f t="shared" si="18"/>
        <v>1422.6276420579707</v>
      </c>
      <c r="G23" s="74">
        <f t="shared" si="18"/>
        <v>1686.2833316929775</v>
      </c>
      <c r="H23" s="74">
        <f t="shared" si="18"/>
        <v>1358.8551561037423</v>
      </c>
      <c r="I23" s="74">
        <f t="shared" si="18"/>
        <v>988.42060009333875</v>
      </c>
      <c r="J23" s="74">
        <f t="shared" si="18"/>
        <v>734.00113228911255</v>
      </c>
      <c r="K23" s="74">
        <f t="shared" si="18"/>
        <v>600.25590903134139</v>
      </c>
      <c r="L23" s="74">
        <f t="shared" si="18"/>
        <v>587.1980672301595</v>
      </c>
      <c r="M23" s="74">
        <f t="shared" si="18"/>
        <v>725.30668370614785</v>
      </c>
      <c r="N23" s="74">
        <f t="shared" si="18"/>
        <v>1009.6914674446159</v>
      </c>
      <c r="O23" s="74">
        <f t="shared" si="18"/>
        <v>1446.7825415645812</v>
      </c>
      <c r="P23" s="74">
        <f t="shared" ref="P23:W23" si="19">SUM(P21,P13)</f>
        <v>2045.6033227375833</v>
      </c>
      <c r="Q23" s="74">
        <f t="shared" si="19"/>
        <v>2836.9321702888783</v>
      </c>
      <c r="R23" s="74">
        <f t="shared" si="19"/>
        <v>3818.9395022390836</v>
      </c>
      <c r="S23" s="74">
        <f t="shared" si="19"/>
        <v>5001.3078477451008</v>
      </c>
      <c r="T23" s="74">
        <f t="shared" si="19"/>
        <v>6321.6390491517877</v>
      </c>
      <c r="U23" s="74">
        <f t="shared" si="19"/>
        <v>7833.4326470320784</v>
      </c>
      <c r="V23" s="74">
        <f t="shared" si="19"/>
        <v>9275.7678693870166</v>
      </c>
      <c r="W23" s="74">
        <f t="shared" si="19"/>
        <v>10757.167824701612</v>
      </c>
      <c r="X23" s="74">
        <f t="shared" ref="X23:AA23" si="20">SUM(X21,X13)</f>
        <v>12262.207418397831</v>
      </c>
      <c r="Y23" s="74">
        <f t="shared" si="20"/>
        <v>13818.251269425818</v>
      </c>
      <c r="Z23" s="74">
        <f t="shared" si="20"/>
        <v>15413.159262721274</v>
      </c>
      <c r="AA23" s="74">
        <f t="shared" si="20"/>
        <v>17045.763534488629</v>
      </c>
      <c r="AC23" s="74">
        <f t="shared" ref="AC23:AH23" si="21">SUM(AC21,AC13)</f>
        <v>0</v>
      </c>
      <c r="AD23" s="74">
        <f t="shared" si="21"/>
        <v>0</v>
      </c>
      <c r="AE23" s="74">
        <f t="shared" si="21"/>
        <v>0</v>
      </c>
      <c r="AF23" s="74">
        <f t="shared" si="21"/>
        <v>0</v>
      </c>
      <c r="AG23" s="74">
        <f t="shared" si="21"/>
        <v>0</v>
      </c>
      <c r="AH23" s="74">
        <f t="shared" si="21"/>
        <v>0</v>
      </c>
    </row>
    <row r="24" spans="1:34" ht="15" customHeight="1">
      <c r="P24" s="40"/>
    </row>
    <row r="25" spans="1:34">
      <c r="A25" s="38" t="s">
        <v>241</v>
      </c>
      <c r="P25" s="40"/>
    </row>
    <row r="26" spans="1:34">
      <c r="A26" s="38" t="s">
        <v>242</v>
      </c>
      <c r="B26" s="39" t="s">
        <v>96</v>
      </c>
      <c r="P26" s="40"/>
    </row>
    <row r="27" spans="1:34">
      <c r="A27" s="39" t="s">
        <v>243</v>
      </c>
      <c r="B27" s="39" t="s">
        <v>96</v>
      </c>
      <c r="D27" s="40">
        <f>Инвестиции!D90</f>
        <v>0</v>
      </c>
      <c r="E27" s="40">
        <f>Инвестиции!E90</f>
        <v>0</v>
      </c>
      <c r="F27" s="40">
        <f>Инвестиции!F90</f>
        <v>0</v>
      </c>
      <c r="G27" s="40">
        <f>Инвестиции!G90</f>
        <v>0</v>
      </c>
      <c r="H27" s="40">
        <f>Инвестиции!H90</f>
        <v>0</v>
      </c>
      <c r="I27" s="40">
        <f>Инвестиции!I90</f>
        <v>0</v>
      </c>
      <c r="J27" s="40">
        <f>Инвестиции!J90</f>
        <v>0</v>
      </c>
      <c r="K27" s="40">
        <f>Инвестиции!K90</f>
        <v>0</v>
      </c>
      <c r="L27" s="40">
        <f>Инвестиции!L90</f>
        <v>0</v>
      </c>
      <c r="M27" s="40">
        <f>Инвестиции!M90</f>
        <v>0</v>
      </c>
      <c r="N27" s="40">
        <f>Инвестиции!N90</f>
        <v>0</v>
      </c>
      <c r="O27" s="40">
        <f>Инвестиции!O90</f>
        <v>0</v>
      </c>
      <c r="P27" s="40">
        <f>Инвестиции!P90</f>
        <v>0</v>
      </c>
      <c r="Q27" s="40">
        <f>Инвестиции!Q90</f>
        <v>0</v>
      </c>
      <c r="R27" s="40">
        <f>Инвестиции!R90</f>
        <v>0</v>
      </c>
      <c r="S27" s="40">
        <f>Инвестиции!S90</f>
        <v>0</v>
      </c>
      <c r="T27" s="40">
        <f>Инвестиции!T90</f>
        <v>0</v>
      </c>
      <c r="U27" s="40">
        <f>Инвестиции!U90</f>
        <v>0</v>
      </c>
      <c r="V27" s="40">
        <f>Инвестиции!V90</f>
        <v>0</v>
      </c>
      <c r="W27" s="40">
        <f>Инвестиции!W90</f>
        <v>0</v>
      </c>
      <c r="X27" s="40">
        <f>Инвестиции!X90</f>
        <v>0</v>
      </c>
      <c r="Y27" s="40">
        <f>Инвестиции!Y90</f>
        <v>0</v>
      </c>
      <c r="Z27" s="40">
        <f>Инвестиции!Z90</f>
        <v>0</v>
      </c>
      <c r="AA27" s="40">
        <f>Инвестиции!AA90</f>
        <v>0</v>
      </c>
      <c r="AC27" s="40">
        <f t="shared" ref="AC27:AH30" si="22">SUMIF($D$3:$AA$3,AC$5,$D27:$AA27)</f>
        <v>0</v>
      </c>
      <c r="AD27" s="40">
        <f t="shared" si="22"/>
        <v>0</v>
      </c>
      <c r="AE27" s="40">
        <f t="shared" si="22"/>
        <v>0</v>
      </c>
      <c r="AF27" s="40">
        <f t="shared" si="22"/>
        <v>0</v>
      </c>
      <c r="AG27" s="40">
        <f t="shared" si="22"/>
        <v>0</v>
      </c>
      <c r="AH27" s="40">
        <f t="shared" si="22"/>
        <v>0</v>
      </c>
    </row>
    <row r="28" spans="1:34">
      <c r="A28" s="39" t="s">
        <v>244</v>
      </c>
      <c r="B28" s="39" t="s">
        <v>96</v>
      </c>
      <c r="D28" s="40">
        <f>Инвестиции!D95</f>
        <v>0</v>
      </c>
      <c r="E28" s="40">
        <f>Инвестиции!E95</f>
        <v>1155.9935172381843</v>
      </c>
      <c r="F28" s="40">
        <f>Инвестиции!F95</f>
        <v>2365.0573723543525</v>
      </c>
      <c r="G28" s="40">
        <f>Инвестиции!G95</f>
        <v>3522.0836867836006</v>
      </c>
      <c r="H28" s="40">
        <f>Инвестиции!H95</f>
        <v>3522.0836867836006</v>
      </c>
      <c r="I28" s="40">
        <f>Инвестиции!I95</f>
        <v>3522.0836867836006</v>
      </c>
      <c r="J28" s="40">
        <f>Инвестиции!J95</f>
        <v>3522.0836867836006</v>
      </c>
      <c r="K28" s="40">
        <f>Инвестиции!K95</f>
        <v>3522.0836867836006</v>
      </c>
      <c r="L28" s="40">
        <f>Инвестиции!L95</f>
        <v>3522.0836867836006</v>
      </c>
      <c r="M28" s="40">
        <f>Инвестиции!M95</f>
        <v>3522.0836867836006</v>
      </c>
      <c r="N28" s="40">
        <f>Инвестиции!N95</f>
        <v>3522.0836867836006</v>
      </c>
      <c r="O28" s="40">
        <f>Инвестиции!O95</f>
        <v>3522.0836867836006</v>
      </c>
      <c r="P28" s="40">
        <f>Инвестиции!P95</f>
        <v>3522.0836867836006</v>
      </c>
      <c r="Q28" s="40">
        <f>Инвестиции!Q95</f>
        <v>3522.0836867836006</v>
      </c>
      <c r="R28" s="40">
        <f>Инвестиции!R95</f>
        <v>3522.0836867836006</v>
      </c>
      <c r="S28" s="40">
        <f>Инвестиции!S95</f>
        <v>3522.0836867836006</v>
      </c>
      <c r="T28" s="40">
        <f>Инвестиции!T95</f>
        <v>3522.0836867836006</v>
      </c>
      <c r="U28" s="40">
        <f>Инвестиции!U95</f>
        <v>3522.0836867836006</v>
      </c>
      <c r="V28" s="40">
        <f>Инвестиции!V95</f>
        <v>3522.0836867836006</v>
      </c>
      <c r="W28" s="40">
        <f>Инвестиции!W95</f>
        <v>3522.0836867836006</v>
      </c>
      <c r="X28" s="40">
        <f>Инвестиции!X95</f>
        <v>3522.0836867836006</v>
      </c>
      <c r="Y28" s="40">
        <f>Инвестиции!Y95</f>
        <v>3522.0836867836006</v>
      </c>
      <c r="Z28" s="40">
        <f>Инвестиции!Z95</f>
        <v>3522.0836867836006</v>
      </c>
      <c r="AA28" s="40">
        <f>Инвестиции!AA95</f>
        <v>3522.0836867836006</v>
      </c>
      <c r="AC28" s="40">
        <f t="shared" si="22"/>
        <v>0</v>
      </c>
      <c r="AD28" s="40">
        <f t="shared" si="22"/>
        <v>0</v>
      </c>
      <c r="AE28" s="40">
        <f t="shared" si="22"/>
        <v>0</v>
      </c>
      <c r="AF28" s="40">
        <f t="shared" si="22"/>
        <v>0</v>
      </c>
      <c r="AG28" s="40">
        <f t="shared" si="22"/>
        <v>0</v>
      </c>
      <c r="AH28" s="40">
        <f t="shared" si="22"/>
        <v>0</v>
      </c>
    </row>
    <row r="29" spans="1:34">
      <c r="A29" s="39" t="s">
        <v>245</v>
      </c>
      <c r="B29" s="39" t="s">
        <v>96</v>
      </c>
      <c r="D29" s="40">
        <f>C29+D30</f>
        <v>0</v>
      </c>
      <c r="E29" s="40">
        <f>D29+E30</f>
        <v>-864.66058686818337</v>
      </c>
      <c r="F29" s="40">
        <f t="shared" ref="F29:O29" si="23">E29+F30</f>
        <v>-1727.3310690274259</v>
      </c>
      <c r="G29" s="40">
        <f t="shared" si="23"/>
        <v>-2607.1375004289148</v>
      </c>
      <c r="H29" s="40">
        <f t="shared" si="23"/>
        <v>-3168.3129094289543</v>
      </c>
      <c r="I29" s="40">
        <f t="shared" si="23"/>
        <v>-3624.3026559427708</v>
      </c>
      <c r="J29" s="40">
        <f t="shared" si="23"/>
        <v>-3969.1282963170916</v>
      </c>
      <c r="K29" s="40">
        <f t="shared" si="23"/>
        <v>-4211.0993097791834</v>
      </c>
      <c r="L29" s="40">
        <f t="shared" si="23"/>
        <v>-4313.2658500428515</v>
      </c>
      <c r="M29" s="40">
        <f t="shared" si="23"/>
        <v>-4282.9152838125201</v>
      </c>
      <c r="N29" s="40">
        <f t="shared" si="23"/>
        <v>-4112.4518358431869</v>
      </c>
      <c r="O29" s="40">
        <f t="shared" si="23"/>
        <v>-3808.4828111284437</v>
      </c>
      <c r="P29" s="40">
        <f t="shared" ref="P29:AA29" si="24">O29+P30</f>
        <v>-3328.3414700875405</v>
      </c>
      <c r="Q29" s="40">
        <f t="shared" si="24"/>
        <v>-2676.5700010646378</v>
      </c>
      <c r="R29" s="40">
        <f t="shared" si="24"/>
        <v>-1842.653226848166</v>
      </c>
      <c r="S29" s="40">
        <f t="shared" si="24"/>
        <v>-830.09517642930496</v>
      </c>
      <c r="T29" s="40">
        <f t="shared" si="24"/>
        <v>365.92715811742914</v>
      </c>
      <c r="U29" s="40">
        <f t="shared" si="24"/>
        <v>1736.2722594644376</v>
      </c>
      <c r="V29" s="40">
        <f t="shared" si="24"/>
        <v>3146.1966168349154</v>
      </c>
      <c r="W29" s="40">
        <f t="shared" si="24"/>
        <v>4581.8535800544432</v>
      </c>
      <c r="X29" s="40">
        <f t="shared" si="24"/>
        <v>6069.2200059702081</v>
      </c>
      <c r="Y29" s="40">
        <f t="shared" si="24"/>
        <v>7594.3444096958719</v>
      </c>
      <c r="Z29" s="40">
        <f t="shared" si="24"/>
        <v>9157.8349464290804</v>
      </c>
      <c r="AA29" s="40">
        <f t="shared" si="24"/>
        <v>10745.759566721097</v>
      </c>
      <c r="AC29" s="40">
        <f t="shared" si="22"/>
        <v>0</v>
      </c>
      <c r="AD29" s="40">
        <f t="shared" si="22"/>
        <v>0</v>
      </c>
      <c r="AE29" s="40">
        <f t="shared" si="22"/>
        <v>0</v>
      </c>
      <c r="AF29" s="40">
        <f t="shared" si="22"/>
        <v>0</v>
      </c>
      <c r="AG29" s="40">
        <f t="shared" si="22"/>
        <v>0</v>
      </c>
      <c r="AH29" s="40">
        <f t="shared" si="22"/>
        <v>0</v>
      </c>
    </row>
    <row r="30" spans="1:34">
      <c r="A30" s="42" t="s">
        <v>246</v>
      </c>
      <c r="B30" s="39" t="s">
        <v>96</v>
      </c>
      <c r="D30" s="40">
        <f>D63</f>
        <v>0</v>
      </c>
      <c r="E30" s="40">
        <f t="shared" ref="E30:O30" si="25">E63</f>
        <v>-864.66058686818337</v>
      </c>
      <c r="F30" s="40">
        <f t="shared" si="25"/>
        <v>-862.67048215924251</v>
      </c>
      <c r="G30" s="40">
        <f t="shared" si="25"/>
        <v>-879.80643140148914</v>
      </c>
      <c r="H30" s="40">
        <f t="shared" si="25"/>
        <v>-561.17540900003939</v>
      </c>
      <c r="I30" s="40">
        <f t="shared" si="25"/>
        <v>-455.98974651381639</v>
      </c>
      <c r="J30" s="40">
        <f t="shared" si="25"/>
        <v>-344.82564037432076</v>
      </c>
      <c r="K30" s="40">
        <f t="shared" si="25"/>
        <v>-241.97101346209223</v>
      </c>
      <c r="L30" s="40">
        <f t="shared" si="25"/>
        <v>-102.16654026366794</v>
      </c>
      <c r="M30" s="40">
        <f t="shared" si="25"/>
        <v>30.350566230331822</v>
      </c>
      <c r="N30" s="40">
        <f t="shared" si="25"/>
        <v>170.46344796933337</v>
      </c>
      <c r="O30" s="40">
        <f t="shared" si="25"/>
        <v>303.96902471474317</v>
      </c>
      <c r="P30" s="40">
        <f t="shared" ref="P30:W30" si="26">P63</f>
        <v>480.14134104090306</v>
      </c>
      <c r="Q30" s="40">
        <f t="shared" si="26"/>
        <v>651.77146902290258</v>
      </c>
      <c r="R30" s="40">
        <f t="shared" si="26"/>
        <v>833.91677421647182</v>
      </c>
      <c r="S30" s="40">
        <f t="shared" si="26"/>
        <v>1012.5580504188611</v>
      </c>
      <c r="T30" s="40">
        <f t="shared" si="26"/>
        <v>1196.0223345467341</v>
      </c>
      <c r="U30" s="40">
        <f t="shared" si="26"/>
        <v>1370.3451013470085</v>
      </c>
      <c r="V30" s="40">
        <f t="shared" si="26"/>
        <v>1409.9243573704778</v>
      </c>
      <c r="W30" s="40">
        <f t="shared" si="26"/>
        <v>1435.6569632195276</v>
      </c>
      <c r="X30" s="40">
        <f t="shared" ref="X30:AA30" si="27">X63</f>
        <v>1487.3664259157645</v>
      </c>
      <c r="Y30" s="40">
        <f t="shared" si="27"/>
        <v>1525.124403725664</v>
      </c>
      <c r="Z30" s="40">
        <f t="shared" si="27"/>
        <v>1563.490536733209</v>
      </c>
      <c r="AA30" s="40">
        <f t="shared" si="27"/>
        <v>1587.9246202920167</v>
      </c>
      <c r="AC30" s="40">
        <f t="shared" si="22"/>
        <v>0</v>
      </c>
      <c r="AD30" s="40">
        <f t="shared" si="22"/>
        <v>0</v>
      </c>
      <c r="AE30" s="40">
        <f t="shared" si="22"/>
        <v>0</v>
      </c>
      <c r="AF30" s="40">
        <f t="shared" si="22"/>
        <v>0</v>
      </c>
      <c r="AG30" s="40">
        <f t="shared" si="22"/>
        <v>0</v>
      </c>
      <c r="AH30" s="40">
        <f t="shared" si="22"/>
        <v>0</v>
      </c>
    </row>
    <row r="31" spans="1:34">
      <c r="A31" s="73" t="s">
        <v>247</v>
      </c>
      <c r="B31" s="73" t="s">
        <v>96</v>
      </c>
      <c r="C31" s="74"/>
      <c r="D31" s="74">
        <f t="shared" ref="D31:O31" si="28">SUM(D27:D29)</f>
        <v>0</v>
      </c>
      <c r="E31" s="74">
        <f t="shared" si="28"/>
        <v>291.33293037000089</v>
      </c>
      <c r="F31" s="74">
        <f t="shared" si="28"/>
        <v>637.72630332692665</v>
      </c>
      <c r="G31" s="74">
        <f t="shared" si="28"/>
        <v>914.94618635468578</v>
      </c>
      <c r="H31" s="74">
        <f t="shared" si="28"/>
        <v>353.77077735464627</v>
      </c>
      <c r="I31" s="74">
        <f t="shared" si="28"/>
        <v>-102.21896915917023</v>
      </c>
      <c r="J31" s="74">
        <f t="shared" si="28"/>
        <v>-447.04460953349098</v>
      </c>
      <c r="K31" s="74">
        <f t="shared" si="28"/>
        <v>-689.01562299558282</v>
      </c>
      <c r="L31" s="74">
        <f t="shared" si="28"/>
        <v>-791.18216325925096</v>
      </c>
      <c r="M31" s="74">
        <f t="shared" si="28"/>
        <v>-760.83159702891953</v>
      </c>
      <c r="N31" s="74">
        <f t="shared" si="28"/>
        <v>-590.36814905958636</v>
      </c>
      <c r="O31" s="74">
        <f t="shared" si="28"/>
        <v>-286.39912434484313</v>
      </c>
      <c r="P31" s="74">
        <f t="shared" ref="P31:W31" si="29">SUM(P27:P29)</f>
        <v>193.74221669606004</v>
      </c>
      <c r="Q31" s="74">
        <f t="shared" si="29"/>
        <v>845.51368571896273</v>
      </c>
      <c r="R31" s="74">
        <f t="shared" si="29"/>
        <v>1679.4304599354346</v>
      </c>
      <c r="S31" s="74">
        <f t="shared" si="29"/>
        <v>2691.9885103542956</v>
      </c>
      <c r="T31" s="74">
        <f t="shared" si="29"/>
        <v>3888.0108449010295</v>
      </c>
      <c r="U31" s="74">
        <f t="shared" si="29"/>
        <v>5258.355946248038</v>
      </c>
      <c r="V31" s="74">
        <f t="shared" si="29"/>
        <v>6668.280303618516</v>
      </c>
      <c r="W31" s="74">
        <f t="shared" si="29"/>
        <v>8103.9372668380438</v>
      </c>
      <c r="X31" s="74">
        <f t="shared" ref="X31:AA31" si="30">SUM(X27:X29)</f>
        <v>9591.3036927538087</v>
      </c>
      <c r="Y31" s="74">
        <f t="shared" si="30"/>
        <v>11116.428096479473</v>
      </c>
      <c r="Z31" s="74">
        <f t="shared" si="30"/>
        <v>12679.918633212681</v>
      </c>
      <c r="AA31" s="74">
        <f t="shared" si="30"/>
        <v>14267.843253504698</v>
      </c>
      <c r="AC31" s="74">
        <f t="shared" ref="AC31:AH31" si="31">SUM(AC27:AC29)</f>
        <v>0</v>
      </c>
      <c r="AD31" s="74">
        <f t="shared" si="31"/>
        <v>0</v>
      </c>
      <c r="AE31" s="74">
        <f t="shared" si="31"/>
        <v>0</v>
      </c>
      <c r="AF31" s="74">
        <f t="shared" si="31"/>
        <v>0</v>
      </c>
      <c r="AG31" s="74">
        <f t="shared" si="31"/>
        <v>0</v>
      </c>
      <c r="AH31" s="74">
        <f t="shared" si="31"/>
        <v>0</v>
      </c>
    </row>
    <row r="32" spans="1:34" ht="8.25" customHeight="1">
      <c r="P32" s="40"/>
    </row>
    <row r="33" spans="1:34">
      <c r="A33" s="38" t="s">
        <v>248</v>
      </c>
      <c r="B33" s="39" t="s">
        <v>96</v>
      </c>
      <c r="P33" s="40"/>
    </row>
    <row r="34" spans="1:34">
      <c r="A34" s="39" t="s">
        <v>249</v>
      </c>
      <c r="B34" s="39" t="s">
        <v>96</v>
      </c>
      <c r="D34" s="40">
        <f t="shared" ref="D34:O34" si="32">C34+D87</f>
        <v>0</v>
      </c>
      <c r="E34" s="40">
        <f t="shared" si="32"/>
        <v>0</v>
      </c>
      <c r="F34" s="40">
        <f t="shared" si="32"/>
        <v>0</v>
      </c>
      <c r="G34" s="40">
        <f t="shared" si="32"/>
        <v>0</v>
      </c>
      <c r="H34" s="40">
        <f t="shared" si="32"/>
        <v>0</v>
      </c>
      <c r="I34" s="40">
        <f t="shared" si="32"/>
        <v>0</v>
      </c>
      <c r="J34" s="40">
        <f t="shared" si="32"/>
        <v>0</v>
      </c>
      <c r="K34" s="40">
        <f t="shared" si="32"/>
        <v>0</v>
      </c>
      <c r="L34" s="40">
        <f t="shared" si="32"/>
        <v>0</v>
      </c>
      <c r="M34" s="40">
        <f t="shared" si="32"/>
        <v>0</v>
      </c>
      <c r="N34" s="40">
        <f t="shared" si="32"/>
        <v>0</v>
      </c>
      <c r="O34" s="40">
        <f t="shared" si="32"/>
        <v>0</v>
      </c>
      <c r="P34" s="40">
        <f t="shared" ref="P34:AA34" si="33">O34+P87</f>
        <v>0</v>
      </c>
      <c r="Q34" s="40">
        <f t="shared" si="33"/>
        <v>0</v>
      </c>
      <c r="R34" s="40">
        <f t="shared" si="33"/>
        <v>0</v>
      </c>
      <c r="S34" s="40">
        <f t="shared" si="33"/>
        <v>0</v>
      </c>
      <c r="T34" s="40">
        <f t="shared" si="33"/>
        <v>0</v>
      </c>
      <c r="U34" s="40">
        <f t="shared" si="33"/>
        <v>0</v>
      </c>
      <c r="V34" s="40">
        <f t="shared" si="33"/>
        <v>0</v>
      </c>
      <c r="W34" s="40">
        <f t="shared" si="33"/>
        <v>0</v>
      </c>
      <c r="X34" s="40">
        <f t="shared" si="33"/>
        <v>0</v>
      </c>
      <c r="Y34" s="40">
        <f t="shared" si="33"/>
        <v>0</v>
      </c>
      <c r="Z34" s="40">
        <f t="shared" si="33"/>
        <v>0</v>
      </c>
      <c r="AA34" s="40">
        <f t="shared" si="33"/>
        <v>0</v>
      </c>
      <c r="AC34" s="40">
        <f t="shared" ref="AC34:AH35" si="34">SUMIF($D$3:$AA$3,AC$5,$D34:$AA34)</f>
        <v>0</v>
      </c>
      <c r="AD34" s="40">
        <f t="shared" si="34"/>
        <v>0</v>
      </c>
      <c r="AE34" s="40">
        <f t="shared" si="34"/>
        <v>0</v>
      </c>
      <c r="AF34" s="40">
        <f t="shared" si="34"/>
        <v>0</v>
      </c>
      <c r="AG34" s="40">
        <f t="shared" si="34"/>
        <v>0</v>
      </c>
      <c r="AH34" s="40">
        <f t="shared" si="34"/>
        <v>0</v>
      </c>
    </row>
    <row r="35" spans="1:34">
      <c r="A35" s="39" t="s">
        <v>110</v>
      </c>
      <c r="B35" s="39" t="s">
        <v>96</v>
      </c>
      <c r="D35" s="40">
        <f>'Оборотный капитал'!D18</f>
        <v>0</v>
      </c>
      <c r="E35" s="40">
        <f>'Оборотный капитал'!E18</f>
        <v>758.05859670635243</v>
      </c>
      <c r="F35" s="40">
        <f>'Оборотный капитал'!F18</f>
        <v>784.90133873104401</v>
      </c>
      <c r="G35" s="40">
        <f>'Оборотный капитал'!G18</f>
        <v>771.33714533829186</v>
      </c>
      <c r="H35" s="40">
        <f>'Оборотный капитал'!H18</f>
        <v>1005.0843787490961</v>
      </c>
      <c r="I35" s="40">
        <f>'Оборотный капитал'!I18</f>
        <v>1090.6395692525089</v>
      </c>
      <c r="J35" s="40">
        <f>'Оборотный капитал'!J18</f>
        <v>1181.0457418226033</v>
      </c>
      <c r="K35" s="40">
        <f>'Оборотный капитал'!K18</f>
        <v>1289.2715320269244</v>
      </c>
      <c r="L35" s="40">
        <f>'Оборотный капитал'!L18</f>
        <v>1378.3802304894105</v>
      </c>
      <c r="M35" s="40">
        <f>'Оборотный капитал'!M18</f>
        <v>1486.1382807350669</v>
      </c>
      <c r="N35" s="40">
        <f>'Оборотный капитал'!N18</f>
        <v>1600.0596165042016</v>
      </c>
      <c r="O35" s="40">
        <f>'Оборотный капитал'!O18</f>
        <v>1733.1816659094236</v>
      </c>
      <c r="P35" s="40">
        <f>'Оборотный капитал'!P18</f>
        <v>1851.8611060415226</v>
      </c>
      <c r="Q35" s="40">
        <f>'Оборотный капитал'!Q18</f>
        <v>1991.4184845699151</v>
      </c>
      <c r="R35" s="40">
        <f>'Оборотный капитал'!R18</f>
        <v>2139.5090423036486</v>
      </c>
      <c r="S35" s="40">
        <f>'Оборотный капитал'!S18</f>
        <v>2309.3193373908048</v>
      </c>
      <c r="T35" s="40">
        <f>'Оборотный капитал'!T18</f>
        <v>2433.6282042507578</v>
      </c>
      <c r="U35" s="40">
        <f>'Оборотный капитал'!U18</f>
        <v>2575.07670078404</v>
      </c>
      <c r="V35" s="40">
        <f>'Оборотный капитал'!V18</f>
        <v>2607.4875657685006</v>
      </c>
      <c r="W35" s="40">
        <f>'Оборотный капитал'!W18</f>
        <v>2653.2305578635678</v>
      </c>
      <c r="X35" s="40">
        <f>'Оборотный капитал'!X18</f>
        <v>2670.9037256440229</v>
      </c>
      <c r="Y35" s="40">
        <f>'Оборотный капитал'!Y18</f>
        <v>2701.8231729463464</v>
      </c>
      <c r="Z35" s="40">
        <f>'Оборотный капитал'!Z18</f>
        <v>2733.2406295085925</v>
      </c>
      <c r="AA35" s="40">
        <f>'Оборотный капитал'!AA18</f>
        <v>2777.920280983933</v>
      </c>
      <c r="AC35" s="40">
        <f t="shared" si="34"/>
        <v>0</v>
      </c>
      <c r="AD35" s="40">
        <f t="shared" si="34"/>
        <v>0</v>
      </c>
      <c r="AE35" s="40">
        <f t="shared" si="34"/>
        <v>0</v>
      </c>
      <c r="AF35" s="40">
        <f t="shared" si="34"/>
        <v>0</v>
      </c>
      <c r="AG35" s="40">
        <f t="shared" si="34"/>
        <v>0</v>
      </c>
      <c r="AH35" s="40">
        <f t="shared" si="34"/>
        <v>0</v>
      </c>
    </row>
    <row r="36" spans="1:34">
      <c r="A36" s="73" t="s">
        <v>250</v>
      </c>
      <c r="B36" s="73" t="s">
        <v>96</v>
      </c>
      <c r="C36" s="74"/>
      <c r="D36" s="74">
        <f>SUM(D34:D35)</f>
        <v>0</v>
      </c>
      <c r="E36" s="74">
        <f t="shared" ref="E36:O36" si="35">SUM(E34:E35)</f>
        <v>758.05859670635243</v>
      </c>
      <c r="F36" s="74">
        <f t="shared" si="35"/>
        <v>784.90133873104401</v>
      </c>
      <c r="G36" s="74">
        <f t="shared" si="35"/>
        <v>771.33714533829186</v>
      </c>
      <c r="H36" s="74">
        <f t="shared" si="35"/>
        <v>1005.0843787490961</v>
      </c>
      <c r="I36" s="74">
        <f t="shared" si="35"/>
        <v>1090.6395692525089</v>
      </c>
      <c r="J36" s="74">
        <f t="shared" si="35"/>
        <v>1181.0457418226033</v>
      </c>
      <c r="K36" s="74">
        <f t="shared" si="35"/>
        <v>1289.2715320269244</v>
      </c>
      <c r="L36" s="74">
        <f t="shared" si="35"/>
        <v>1378.3802304894105</v>
      </c>
      <c r="M36" s="74">
        <f t="shared" si="35"/>
        <v>1486.1382807350669</v>
      </c>
      <c r="N36" s="74">
        <f t="shared" si="35"/>
        <v>1600.0596165042016</v>
      </c>
      <c r="O36" s="74">
        <f t="shared" si="35"/>
        <v>1733.1816659094236</v>
      </c>
      <c r="P36" s="74">
        <f t="shared" ref="P36:W36" si="36">SUM(P34:P35)</f>
        <v>1851.8611060415226</v>
      </c>
      <c r="Q36" s="74">
        <f t="shared" si="36"/>
        <v>1991.4184845699151</v>
      </c>
      <c r="R36" s="74">
        <f t="shared" si="36"/>
        <v>2139.5090423036486</v>
      </c>
      <c r="S36" s="74">
        <f t="shared" si="36"/>
        <v>2309.3193373908048</v>
      </c>
      <c r="T36" s="74">
        <f t="shared" si="36"/>
        <v>2433.6282042507578</v>
      </c>
      <c r="U36" s="74">
        <f t="shared" si="36"/>
        <v>2575.07670078404</v>
      </c>
      <c r="V36" s="74">
        <f t="shared" si="36"/>
        <v>2607.4875657685006</v>
      </c>
      <c r="W36" s="74">
        <f t="shared" si="36"/>
        <v>2653.2305578635678</v>
      </c>
      <c r="X36" s="74">
        <f t="shared" ref="X36:AA36" si="37">SUM(X34:X35)</f>
        <v>2670.9037256440229</v>
      </c>
      <c r="Y36" s="74">
        <f t="shared" si="37"/>
        <v>2701.8231729463464</v>
      </c>
      <c r="Z36" s="74">
        <f t="shared" si="37"/>
        <v>2733.2406295085925</v>
      </c>
      <c r="AA36" s="74">
        <f t="shared" si="37"/>
        <v>2777.920280983933</v>
      </c>
      <c r="AC36" s="74">
        <f t="shared" ref="AC36:AH36" si="38">SUM(AC34:AC35)</f>
        <v>0</v>
      </c>
      <c r="AD36" s="74">
        <f t="shared" si="38"/>
        <v>0</v>
      </c>
      <c r="AE36" s="74">
        <f t="shared" si="38"/>
        <v>0</v>
      </c>
      <c r="AF36" s="74">
        <f t="shared" si="38"/>
        <v>0</v>
      </c>
      <c r="AG36" s="74">
        <f t="shared" si="38"/>
        <v>0</v>
      </c>
      <c r="AH36" s="74">
        <f t="shared" si="38"/>
        <v>0</v>
      </c>
    </row>
    <row r="37" spans="1:34" ht="8.25" customHeight="1">
      <c r="P37" s="40"/>
    </row>
    <row r="38" spans="1:34">
      <c r="A38" s="73" t="s">
        <v>251</v>
      </c>
      <c r="B38" s="73" t="s">
        <v>96</v>
      </c>
      <c r="C38" s="74"/>
      <c r="D38" s="74">
        <f>SUM(D31,D36)</f>
        <v>0</v>
      </c>
      <c r="E38" s="74">
        <f t="shared" ref="E38:O38" si="39">SUM(E31,E36)</f>
        <v>1049.3915270763532</v>
      </c>
      <c r="F38" s="74">
        <f t="shared" si="39"/>
        <v>1422.6276420579707</v>
      </c>
      <c r="G38" s="74">
        <f t="shared" si="39"/>
        <v>1686.2833316929778</v>
      </c>
      <c r="H38" s="74">
        <f t="shared" si="39"/>
        <v>1358.8551561037425</v>
      </c>
      <c r="I38" s="74">
        <f t="shared" si="39"/>
        <v>988.42060009333863</v>
      </c>
      <c r="J38" s="74">
        <f t="shared" si="39"/>
        <v>734.00113228911232</v>
      </c>
      <c r="K38" s="74">
        <f t="shared" si="39"/>
        <v>600.25590903134162</v>
      </c>
      <c r="L38" s="74">
        <f t="shared" si="39"/>
        <v>587.1980672301595</v>
      </c>
      <c r="M38" s="74">
        <f t="shared" si="39"/>
        <v>725.3066837061474</v>
      </c>
      <c r="N38" s="74">
        <f t="shared" si="39"/>
        <v>1009.6914674446152</v>
      </c>
      <c r="O38" s="74">
        <f t="shared" si="39"/>
        <v>1446.7825415645805</v>
      </c>
      <c r="P38" s="74">
        <f t="shared" ref="P38:W38" si="40">SUM(P31,P36)</f>
        <v>2045.6033227375826</v>
      </c>
      <c r="Q38" s="74">
        <f t="shared" si="40"/>
        <v>2836.9321702888778</v>
      </c>
      <c r="R38" s="74">
        <f t="shared" si="40"/>
        <v>3818.9395022390831</v>
      </c>
      <c r="S38" s="74">
        <f t="shared" si="40"/>
        <v>5001.3078477450999</v>
      </c>
      <c r="T38" s="74">
        <f t="shared" si="40"/>
        <v>6321.6390491517868</v>
      </c>
      <c r="U38" s="74">
        <f t="shared" si="40"/>
        <v>7833.4326470320775</v>
      </c>
      <c r="V38" s="74">
        <f t="shared" si="40"/>
        <v>9275.7678693870166</v>
      </c>
      <c r="W38" s="74">
        <f t="shared" si="40"/>
        <v>10757.167824701612</v>
      </c>
      <c r="X38" s="74">
        <f t="shared" ref="X38:AA38" si="41">SUM(X31,X36)</f>
        <v>12262.207418397831</v>
      </c>
      <c r="Y38" s="74">
        <f t="shared" si="41"/>
        <v>13818.251269425818</v>
      </c>
      <c r="Z38" s="74">
        <f t="shared" si="41"/>
        <v>15413.159262721274</v>
      </c>
      <c r="AA38" s="74">
        <f t="shared" si="41"/>
        <v>17045.763534488629</v>
      </c>
      <c r="AC38" s="74">
        <f t="shared" ref="AC38:AH38" si="42">SUM(AC31,AC36)</f>
        <v>0</v>
      </c>
      <c r="AD38" s="74">
        <f t="shared" si="42"/>
        <v>0</v>
      </c>
      <c r="AE38" s="74">
        <f t="shared" si="42"/>
        <v>0</v>
      </c>
      <c r="AF38" s="74">
        <f t="shared" si="42"/>
        <v>0</v>
      </c>
      <c r="AG38" s="74">
        <f t="shared" si="42"/>
        <v>0</v>
      </c>
      <c r="AH38" s="74">
        <f t="shared" si="42"/>
        <v>0</v>
      </c>
    </row>
    <row r="39" spans="1:34">
      <c r="A39" s="108" t="s">
        <v>252</v>
      </c>
      <c r="B39" s="108"/>
      <c r="C39" s="97"/>
      <c r="D39" s="97">
        <f t="shared" ref="D39:O39" si="43">D23-D38</f>
        <v>0</v>
      </c>
      <c r="E39" s="97">
        <f t="shared" si="43"/>
        <v>0</v>
      </c>
      <c r="F39" s="97">
        <f t="shared" si="43"/>
        <v>0</v>
      </c>
      <c r="G39" s="97">
        <f t="shared" si="43"/>
        <v>0</v>
      </c>
      <c r="H39" s="97">
        <f t="shared" si="43"/>
        <v>0</v>
      </c>
      <c r="I39" s="97">
        <f t="shared" si="43"/>
        <v>0</v>
      </c>
      <c r="J39" s="97">
        <f t="shared" si="43"/>
        <v>0</v>
      </c>
      <c r="K39" s="97">
        <f t="shared" si="43"/>
        <v>0</v>
      </c>
      <c r="L39" s="97">
        <f t="shared" si="43"/>
        <v>0</v>
      </c>
      <c r="M39" s="97">
        <f t="shared" si="43"/>
        <v>0</v>
      </c>
      <c r="N39" s="97">
        <f t="shared" si="43"/>
        <v>0</v>
      </c>
      <c r="O39" s="97">
        <f t="shared" si="43"/>
        <v>0</v>
      </c>
      <c r="P39" s="97">
        <f t="shared" ref="P39:W39" si="44">P23-P38</f>
        <v>0</v>
      </c>
      <c r="Q39" s="97">
        <f t="shared" si="44"/>
        <v>0</v>
      </c>
      <c r="R39" s="97">
        <f t="shared" si="44"/>
        <v>0</v>
      </c>
      <c r="S39" s="97">
        <f t="shared" si="44"/>
        <v>0</v>
      </c>
      <c r="T39" s="97">
        <f t="shared" si="44"/>
        <v>0</v>
      </c>
      <c r="U39" s="97">
        <f t="shared" si="44"/>
        <v>0</v>
      </c>
      <c r="V39" s="97">
        <f t="shared" si="44"/>
        <v>0</v>
      </c>
      <c r="W39" s="97">
        <f t="shared" si="44"/>
        <v>0</v>
      </c>
      <c r="X39" s="97">
        <f t="shared" ref="X39:AA39" si="45">X23-X38</f>
        <v>0</v>
      </c>
      <c r="Y39" s="97">
        <f t="shared" si="45"/>
        <v>0</v>
      </c>
      <c r="Z39" s="97">
        <f t="shared" si="45"/>
        <v>0</v>
      </c>
      <c r="AA39" s="97">
        <f t="shared" si="45"/>
        <v>0</v>
      </c>
      <c r="AC39" s="97">
        <f t="shared" ref="AC39:AH39" si="46">AC23-AC38</f>
        <v>0</v>
      </c>
      <c r="AD39" s="97">
        <f t="shared" si="46"/>
        <v>0</v>
      </c>
      <c r="AE39" s="97">
        <f t="shared" si="46"/>
        <v>0</v>
      </c>
      <c r="AF39" s="97">
        <f t="shared" si="46"/>
        <v>0</v>
      </c>
      <c r="AG39" s="97">
        <f t="shared" si="46"/>
        <v>0</v>
      </c>
      <c r="AH39" s="97">
        <f t="shared" si="46"/>
        <v>0</v>
      </c>
    </row>
    <row r="40" spans="1:34">
      <c r="A40" s="40"/>
      <c r="B40" s="4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C40" s="47"/>
      <c r="AD40" s="47"/>
      <c r="AE40" s="47"/>
      <c r="AF40" s="47"/>
      <c r="AG40" s="47"/>
      <c r="AH40" s="47"/>
    </row>
    <row r="41" spans="1:34"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C41" s="47"/>
      <c r="AD41" s="47"/>
      <c r="AE41" s="47"/>
      <c r="AF41" s="47"/>
      <c r="AG41" s="47"/>
      <c r="AH41" s="47"/>
    </row>
    <row r="42" spans="1:34">
      <c r="A42" s="106" t="s">
        <v>253</v>
      </c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C42" s="107"/>
      <c r="AD42" s="107"/>
      <c r="AE42" s="107"/>
      <c r="AF42" s="107"/>
      <c r="AG42" s="107"/>
      <c r="AH42" s="107"/>
    </row>
    <row r="43" spans="1:34">
      <c r="A43" s="38" t="s">
        <v>4</v>
      </c>
      <c r="B43" s="38" t="s">
        <v>96</v>
      </c>
      <c r="C43" s="75"/>
      <c r="D43" s="75">
        <f>Выручка!D37</f>
        <v>0</v>
      </c>
      <c r="E43" s="75">
        <f>Выручка!E37</f>
        <v>0</v>
      </c>
      <c r="F43" s="75">
        <f>Выручка!F37</f>
        <v>43.476809774472649</v>
      </c>
      <c r="G43" s="75">
        <f>Выручка!G37</f>
        <v>0</v>
      </c>
      <c r="H43" s="75">
        <f>Выручка!H37</f>
        <v>780.33194734753135</v>
      </c>
      <c r="I43" s="75">
        <f>Выручка!I37</f>
        <v>1050.6946828864354</v>
      </c>
      <c r="J43" s="75">
        <f>Выручка!J37</f>
        <v>1336.4062118561149</v>
      </c>
      <c r="K43" s="75">
        <f>Выручка!K37</f>
        <v>1638.1391036748246</v>
      </c>
      <c r="L43" s="75">
        <f>Выручка!L37</f>
        <v>1960.0645468510879</v>
      </c>
      <c r="M43" s="75">
        <f>Выручка!M37</f>
        <v>2300.6360569250232</v>
      </c>
      <c r="N43" s="75">
        <f>Выручка!N37</f>
        <v>2660.7085973925846</v>
      </c>
      <c r="O43" s="75">
        <f>Выручка!O37</f>
        <v>3041.1724831902393</v>
      </c>
      <c r="P43" s="75">
        <f>Выручка!P37</f>
        <v>3456.5605534926867</v>
      </c>
      <c r="Q43" s="75">
        <f>Выручка!Q37</f>
        <v>3897.6442373139494</v>
      </c>
      <c r="R43" s="75">
        <f>Выручка!R37</f>
        <v>4365.7257007920944</v>
      </c>
      <c r="S43" s="75">
        <f>Выручка!S37</f>
        <v>4862.1672261736639</v>
      </c>
      <c r="T43" s="75">
        <f>Выручка!T37</f>
        <v>5295.8393400270061</v>
      </c>
      <c r="U43" s="75">
        <f>Выручка!U37</f>
        <v>5743.3892842384057</v>
      </c>
      <c r="V43" s="75">
        <f>Выручка!V37</f>
        <v>5845.4531494335652</v>
      </c>
      <c r="W43" s="75">
        <f>Выручка!W37</f>
        <v>5949.3307577102123</v>
      </c>
      <c r="X43" s="75">
        <f>Выручка!X37</f>
        <v>6045.1546506379709</v>
      </c>
      <c r="Y43" s="75">
        <f>Выручка!Y37</f>
        <v>6142.5219471567871</v>
      </c>
      <c r="Z43" s="75">
        <f>Выручка!Z37</f>
        <v>6241.4575063552638</v>
      </c>
      <c r="AA43" s="75">
        <f>Выручка!AA37</f>
        <v>6341.9865877190878</v>
      </c>
      <c r="AC43" s="75">
        <f t="shared" ref="AC43:AC44" si="47">SUMIF($D$4:$AA$4,AC$5,$D43:$AA43)</f>
        <v>0</v>
      </c>
      <c r="AD43" s="75">
        <f t="shared" ref="AD43:AH44" si="48">SUMIF($D$4:$AA$4,AD$5,$D43:$AA43)</f>
        <v>0</v>
      </c>
      <c r="AE43" s="75">
        <f t="shared" si="48"/>
        <v>0</v>
      </c>
      <c r="AF43" s="75">
        <f t="shared" si="48"/>
        <v>0</v>
      </c>
      <c r="AG43" s="75">
        <f t="shared" si="48"/>
        <v>0</v>
      </c>
      <c r="AH43" s="75">
        <f t="shared" si="48"/>
        <v>0</v>
      </c>
    </row>
    <row r="44" spans="1:34">
      <c r="A44" s="39" t="s">
        <v>6</v>
      </c>
      <c r="B44" s="39" t="s">
        <v>96</v>
      </c>
      <c r="D44" s="40">
        <f>-Затраты!D46</f>
        <v>0</v>
      </c>
      <c r="E44" s="40">
        <f>-Затраты!E46</f>
        <v>0</v>
      </c>
      <c r="F44" s="40">
        <f>-Затраты!F46</f>
        <v>-39.998664992514833</v>
      </c>
      <c r="G44" s="40">
        <f>-Затраты!G46</f>
        <v>-19.399999999999999</v>
      </c>
      <c r="H44" s="40">
        <f>-Затраты!H46</f>
        <v>-366.7560152533398</v>
      </c>
      <c r="I44" s="40">
        <f>-Затраты!I46</f>
        <v>-493.82650095662461</v>
      </c>
      <c r="J44" s="40">
        <f>-Затраты!J46</f>
        <v>-628.11091957237397</v>
      </c>
      <c r="K44" s="40">
        <f>-Затраты!K46</f>
        <v>-789.32537872716762</v>
      </c>
      <c r="L44" s="40">
        <f>-Затраты!L46</f>
        <v>-921.23033702001135</v>
      </c>
      <c r="M44" s="40">
        <f>-Затраты!M46</f>
        <v>-1081.2989467547611</v>
      </c>
      <c r="N44" s="40">
        <f>-Затраты!N46</f>
        <v>-1250.533040774515</v>
      </c>
      <c r="O44" s="40">
        <f>-Затраты!O46</f>
        <v>-1448.7510670994129</v>
      </c>
      <c r="P44" s="40">
        <f>-Затраты!P46</f>
        <v>-1624.5834601415629</v>
      </c>
      <c r="Q44" s="40">
        <f>-Затраты!Q46</f>
        <v>-1831.8927915375566</v>
      </c>
      <c r="R44" s="40">
        <f>-Затраты!R46</f>
        <v>-2051.8910793722853</v>
      </c>
      <c r="S44" s="40">
        <f>-Затраты!S46</f>
        <v>-2304.6185963016228</v>
      </c>
      <c r="T44" s="40">
        <f>-Затраты!T46</f>
        <v>-2489.0444898126939</v>
      </c>
      <c r="U44" s="40">
        <f>-Затраты!U46</f>
        <v>-2699.3929635920513</v>
      </c>
      <c r="V44" s="40">
        <f>-Затраты!V46</f>
        <v>-2747.3629802337769</v>
      </c>
      <c r="W44" s="40">
        <f>-Затраты!W46</f>
        <v>-2815.5854561238007</v>
      </c>
      <c r="X44" s="40">
        <f>-Затраты!X46</f>
        <v>-2841.2226857998476</v>
      </c>
      <c r="Y44" s="40">
        <f>-Затраты!Y46</f>
        <v>-2886.9853151636903</v>
      </c>
      <c r="Z44" s="40">
        <f>-Затраты!Z46</f>
        <v>-2933.4850279869747</v>
      </c>
      <c r="AA44" s="40">
        <f>-Затраты!AA46</f>
        <v>-3000.133696227972</v>
      </c>
      <c r="AC44" s="40">
        <f t="shared" si="47"/>
        <v>0</v>
      </c>
      <c r="AD44" s="40">
        <f t="shared" si="48"/>
        <v>0</v>
      </c>
      <c r="AE44" s="40">
        <f t="shared" si="48"/>
        <v>0</v>
      </c>
      <c r="AF44" s="40">
        <f t="shared" si="48"/>
        <v>0</v>
      </c>
      <c r="AG44" s="40">
        <f t="shared" si="48"/>
        <v>0</v>
      </c>
      <c r="AH44" s="40">
        <f t="shared" si="48"/>
        <v>0</v>
      </c>
    </row>
    <row r="45" spans="1:34">
      <c r="A45" s="38" t="s">
        <v>254</v>
      </c>
      <c r="B45" s="38" t="s">
        <v>96</v>
      </c>
      <c r="C45" s="75"/>
      <c r="D45" s="75">
        <f t="shared" ref="D45:M45" si="49">D43+D44</f>
        <v>0</v>
      </c>
      <c r="E45" s="75">
        <f t="shared" si="49"/>
        <v>0</v>
      </c>
      <c r="F45" s="75">
        <f t="shared" si="49"/>
        <v>3.4781447819578162</v>
      </c>
      <c r="G45" s="75">
        <f t="shared" si="49"/>
        <v>-19.399999999999999</v>
      </c>
      <c r="H45" s="75">
        <f t="shared" si="49"/>
        <v>413.57593209419156</v>
      </c>
      <c r="I45" s="75">
        <f t="shared" si="49"/>
        <v>556.86818192981082</v>
      </c>
      <c r="J45" s="75">
        <f t="shared" si="49"/>
        <v>708.29529228374088</v>
      </c>
      <c r="K45" s="75">
        <f t="shared" si="49"/>
        <v>848.81372494765697</v>
      </c>
      <c r="L45" s="75">
        <f t="shared" si="49"/>
        <v>1038.8342098310766</v>
      </c>
      <c r="M45" s="75">
        <f t="shared" si="49"/>
        <v>1219.3371101702621</v>
      </c>
      <c r="N45" s="75">
        <f t="shared" ref="N45:O45" si="50">N43+N44</f>
        <v>1410.1755566180695</v>
      </c>
      <c r="O45" s="75">
        <f t="shared" si="50"/>
        <v>1592.4214160908264</v>
      </c>
      <c r="P45" s="75">
        <f t="shared" ref="P45:W45" si="51">P43+P44</f>
        <v>1831.9770933511238</v>
      </c>
      <c r="Q45" s="75">
        <f t="shared" si="51"/>
        <v>2065.7514457763928</v>
      </c>
      <c r="R45" s="75">
        <f t="shared" si="51"/>
        <v>2313.8346214198091</v>
      </c>
      <c r="S45" s="75">
        <f t="shared" si="51"/>
        <v>2557.5486298720411</v>
      </c>
      <c r="T45" s="75">
        <f t="shared" si="51"/>
        <v>2806.7948502143122</v>
      </c>
      <c r="U45" s="75">
        <f t="shared" si="51"/>
        <v>3043.9963206463544</v>
      </c>
      <c r="V45" s="75">
        <f t="shared" si="51"/>
        <v>3098.0901691997883</v>
      </c>
      <c r="W45" s="75">
        <f t="shared" si="51"/>
        <v>3133.7453015864116</v>
      </c>
      <c r="X45" s="75">
        <f t="shared" ref="X45:AA45" si="52">X43+X44</f>
        <v>3203.9319648381233</v>
      </c>
      <c r="Y45" s="75">
        <f t="shared" si="52"/>
        <v>3255.5366319930968</v>
      </c>
      <c r="Z45" s="75">
        <f t="shared" si="52"/>
        <v>3307.9724783682891</v>
      </c>
      <c r="AA45" s="75">
        <f t="shared" si="52"/>
        <v>3341.8528914911158</v>
      </c>
      <c r="AC45" s="75">
        <f t="shared" ref="AC45:AH45" si="53">AC43+AC44</f>
        <v>0</v>
      </c>
      <c r="AD45" s="75">
        <f t="shared" si="53"/>
        <v>0</v>
      </c>
      <c r="AE45" s="75">
        <f t="shared" si="53"/>
        <v>0</v>
      </c>
      <c r="AF45" s="75">
        <f t="shared" si="53"/>
        <v>0</v>
      </c>
      <c r="AG45" s="75">
        <f t="shared" si="53"/>
        <v>0</v>
      </c>
      <c r="AH45" s="75">
        <f t="shared" si="53"/>
        <v>0</v>
      </c>
    </row>
    <row r="46" spans="1:34">
      <c r="A46" s="108" t="s">
        <v>255</v>
      </c>
      <c r="B46" s="108" t="s">
        <v>49</v>
      </c>
      <c r="C46" s="109"/>
      <c r="D46" s="109">
        <f>IF(D43&lt;&gt;0,D45/D43,0)</f>
        <v>0</v>
      </c>
      <c r="E46" s="109">
        <f t="shared" ref="E46:O46" si="54">IF(E43&lt;&gt;0,E45/E43,0)</f>
        <v>0</v>
      </c>
      <c r="F46" s="109">
        <f t="shared" si="54"/>
        <v>8.0000000000000099E-2</v>
      </c>
      <c r="G46" s="109">
        <f t="shared" si="54"/>
        <v>0</v>
      </c>
      <c r="H46" s="109">
        <f t="shared" si="54"/>
        <v>0.52999999999999992</v>
      </c>
      <c r="I46" s="109">
        <f t="shared" si="54"/>
        <v>0.53</v>
      </c>
      <c r="J46" s="109">
        <f t="shared" si="54"/>
        <v>0.53</v>
      </c>
      <c r="K46" s="109">
        <f t="shared" si="54"/>
        <v>0.51815729387298048</v>
      </c>
      <c r="L46" s="109">
        <f t="shared" si="54"/>
        <v>0.53</v>
      </c>
      <c r="M46" s="109">
        <f t="shared" si="54"/>
        <v>0.52999999999999992</v>
      </c>
      <c r="N46" s="109">
        <f t="shared" si="54"/>
        <v>0.52999999999999992</v>
      </c>
      <c r="O46" s="109">
        <f t="shared" si="54"/>
        <v>0.52362088138465279</v>
      </c>
      <c r="P46" s="109">
        <f t="shared" ref="P46:W46" si="55">IF(P43&lt;&gt;0,P45/P43,0)</f>
        <v>0.52999999999999992</v>
      </c>
      <c r="Q46" s="109">
        <f t="shared" si="55"/>
        <v>0.52999999999999992</v>
      </c>
      <c r="R46" s="109">
        <f t="shared" si="55"/>
        <v>0.5299999999999998</v>
      </c>
      <c r="S46" s="109">
        <f t="shared" si="55"/>
        <v>0.52601000971427558</v>
      </c>
      <c r="T46" s="109">
        <f t="shared" si="55"/>
        <v>0.5299999999999998</v>
      </c>
      <c r="U46" s="109">
        <f t="shared" si="55"/>
        <v>0.52999999999999992</v>
      </c>
      <c r="V46" s="109">
        <f t="shared" si="55"/>
        <v>0.5299999999999998</v>
      </c>
      <c r="W46" s="109">
        <f t="shared" si="55"/>
        <v>0.52673912902306552</v>
      </c>
      <c r="X46" s="109">
        <f t="shared" ref="X46:AA46" si="56">IF(X43&lt;&gt;0,X45/X43,0)</f>
        <v>0.5299999999999998</v>
      </c>
      <c r="Y46" s="109">
        <f t="shared" si="56"/>
        <v>0.52999999999999992</v>
      </c>
      <c r="Z46" s="109">
        <f t="shared" si="56"/>
        <v>0.52999999999999992</v>
      </c>
      <c r="AA46" s="109">
        <f t="shared" si="56"/>
        <v>0.52694102159762246</v>
      </c>
      <c r="AC46" s="109">
        <f t="shared" ref="AC46:AH46" si="57">IF(AC43&lt;&gt;0,AC45/AC43,0)</f>
        <v>0</v>
      </c>
      <c r="AD46" s="109">
        <f t="shared" si="57"/>
        <v>0</v>
      </c>
      <c r="AE46" s="109">
        <f t="shared" si="57"/>
        <v>0</v>
      </c>
      <c r="AF46" s="109">
        <f t="shared" si="57"/>
        <v>0</v>
      </c>
      <c r="AG46" s="109">
        <f t="shared" si="57"/>
        <v>0</v>
      </c>
      <c r="AH46" s="109">
        <f t="shared" si="57"/>
        <v>0</v>
      </c>
    </row>
    <row r="47" spans="1:34" ht="6.75" customHeight="1">
      <c r="A47" s="108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C47" s="109"/>
      <c r="AD47" s="109"/>
      <c r="AE47" s="109"/>
      <c r="AF47" s="109"/>
      <c r="AG47" s="109"/>
      <c r="AH47" s="109"/>
    </row>
    <row r="48" spans="1:34">
      <c r="A48" s="39" t="s">
        <v>256</v>
      </c>
      <c r="B48" s="39" t="s">
        <v>96</v>
      </c>
      <c r="D48" s="40">
        <f>-Затраты!D64</f>
        <v>0</v>
      </c>
      <c r="E48" s="40">
        <f>-Затраты!E64</f>
        <v>-1142.5050000000001</v>
      </c>
      <c r="F48" s="40">
        <f>-Затраты!F64</f>
        <v>-1142.9397680977449</v>
      </c>
      <c r="G48" s="40">
        <f>-Затраты!G64</f>
        <v>-1142.5050000000001</v>
      </c>
      <c r="H48" s="40">
        <f>-Затраты!H64</f>
        <v>-1150.3083194734754</v>
      </c>
      <c r="I48" s="40">
        <f>-Затраты!I64</f>
        <v>-1153.0119468288644</v>
      </c>
      <c r="J48" s="40">
        <f>-Затраты!J64</f>
        <v>-1155.8690621185613</v>
      </c>
      <c r="K48" s="40">
        <f>-Затраты!K64</f>
        <v>-1158.8863910367484</v>
      </c>
      <c r="L48" s="40">
        <f>-Затраты!L64</f>
        <v>-1162.1056454685111</v>
      </c>
      <c r="M48" s="40">
        <f>-Затраты!M64</f>
        <v>-1165.5113605692504</v>
      </c>
      <c r="N48" s="40">
        <f>-Затраты!N64</f>
        <v>-1169.112085973926</v>
      </c>
      <c r="O48" s="40">
        <f>-Затраты!O64</f>
        <v>-1172.9167248319025</v>
      </c>
      <c r="P48" s="40">
        <f>-Затраты!P64</f>
        <v>-1177.0706055349269</v>
      </c>
      <c r="Q48" s="40">
        <f>-Затраты!Q64</f>
        <v>-1181.4814423731395</v>
      </c>
      <c r="R48" s="40">
        <f>-Затраты!R64</f>
        <v>-1186.162257007921</v>
      </c>
      <c r="S48" s="40">
        <f>-Затраты!S64</f>
        <v>-1191.1266722617368</v>
      </c>
      <c r="T48" s="40">
        <f>-Затраты!T64</f>
        <v>-1195.4633934002702</v>
      </c>
      <c r="U48" s="40">
        <f>-Затраты!U64</f>
        <v>-1199.9388928423841</v>
      </c>
      <c r="V48" s="40">
        <f>-Затраты!V64</f>
        <v>-1200.9595314943358</v>
      </c>
      <c r="W48" s="40">
        <f>-Затраты!W64</f>
        <v>-1201.9983075771022</v>
      </c>
      <c r="X48" s="40">
        <f>-Затраты!X64</f>
        <v>-1202.9565465063797</v>
      </c>
      <c r="Y48" s="40">
        <f>-Затраты!Y64</f>
        <v>-1203.9302194715681</v>
      </c>
      <c r="Z48" s="40">
        <f>-Затраты!Z64</f>
        <v>-1204.9195750635527</v>
      </c>
      <c r="AA48" s="40">
        <f>-Затраты!AA64</f>
        <v>-1205.924865877191</v>
      </c>
      <c r="AC48" s="40">
        <f t="shared" ref="AC48:AH49" si="58">SUMIF($D$4:$AA$4,AC$5,$D48:$AA48)</f>
        <v>0</v>
      </c>
      <c r="AD48" s="40">
        <f t="shared" si="58"/>
        <v>0</v>
      </c>
      <c r="AE48" s="40">
        <f t="shared" si="58"/>
        <v>0</v>
      </c>
      <c r="AF48" s="40">
        <f t="shared" si="58"/>
        <v>0</v>
      </c>
      <c r="AG48" s="40">
        <f t="shared" si="58"/>
        <v>0</v>
      </c>
      <c r="AH48" s="40">
        <f t="shared" si="58"/>
        <v>0</v>
      </c>
    </row>
    <row r="49" spans="1:34">
      <c r="A49" s="39" t="s">
        <v>257</v>
      </c>
      <c r="B49" s="39" t="s">
        <v>96</v>
      </c>
      <c r="D49" s="40">
        <f>-Затраты!D54</f>
        <v>0</v>
      </c>
      <c r="E49" s="40">
        <f>-Затраты!E54</f>
        <v>-10.375782490910947</v>
      </c>
      <c r="F49" s="40">
        <f>-Затраты!F54</f>
        <v>-10.765686229869418</v>
      </c>
      <c r="G49" s="40">
        <f>-Затраты!G54</f>
        <v>-11.17024186865202</v>
      </c>
      <c r="H49" s="40">
        <f>-Затраты!H54</f>
        <v>-11.50149128743527</v>
      </c>
      <c r="I49" s="40">
        <f>-Затраты!I54</f>
        <v>-11.842563786034917</v>
      </c>
      <c r="J49" s="40">
        <f>-Затраты!J54</f>
        <v>-12.19375066427402</v>
      </c>
      <c r="K49" s="40">
        <f>-Затраты!K54</f>
        <v>-12.555351860364869</v>
      </c>
      <c r="L49" s="40">
        <f>-Затраты!L54</f>
        <v>-12.950618047456166</v>
      </c>
      <c r="M49" s="40">
        <f>-Затраты!M54</f>
        <v>-13.358327960569262</v>
      </c>
      <c r="N49" s="40">
        <f>-Затраты!N54</f>
        <v>-13.778873351699051</v>
      </c>
      <c r="O49" s="40">
        <f>-Затраты!O54</f>
        <v>-14.212658305933036</v>
      </c>
      <c r="P49" s="40">
        <f>-Затраты!P54</f>
        <v>-14.718033094992792</v>
      </c>
      <c r="Q49" s="40">
        <f>-Затраты!Q54</f>
        <v>-15.241378039383067</v>
      </c>
      <c r="R49" s="40">
        <f>-Затраты!R54</f>
        <v>-15.783332123258973</v>
      </c>
      <c r="S49" s="40">
        <f>-Затраты!S54</f>
        <v>-16.344557051822992</v>
      </c>
      <c r="T49" s="40">
        <f>-Затраты!T54</f>
        <v>-16.635010751729748</v>
      </c>
      <c r="U49" s="40">
        <f>-Затраты!U54</f>
        <v>-16.930626007959017</v>
      </c>
      <c r="V49" s="40">
        <f>-Затраты!V54</f>
        <v>-17.231494544815497</v>
      </c>
      <c r="W49" s="40">
        <f>-Затраты!W54</f>
        <v>-17.537709716606066</v>
      </c>
      <c r="X49" s="40">
        <f>-Затраты!X54</f>
        <v>-17.820183777390842</v>
      </c>
      <c r="Y49" s="40">
        <f>-Затраты!Y54</f>
        <v>-18.107207553976917</v>
      </c>
      <c r="Z49" s="40">
        <f>-Затраты!Z54</f>
        <v>-18.398854327124354</v>
      </c>
      <c r="AA49" s="40">
        <f>-Затраты!AA54</f>
        <v>-18.695198557902064</v>
      </c>
      <c r="AC49" s="40">
        <f t="shared" si="58"/>
        <v>0</v>
      </c>
      <c r="AD49" s="40">
        <f t="shared" si="58"/>
        <v>0</v>
      </c>
      <c r="AE49" s="40">
        <f t="shared" si="58"/>
        <v>0</v>
      </c>
      <c r="AF49" s="40">
        <f t="shared" si="58"/>
        <v>0</v>
      </c>
      <c r="AG49" s="40">
        <f t="shared" si="58"/>
        <v>0</v>
      </c>
      <c r="AH49" s="40">
        <f t="shared" si="58"/>
        <v>0</v>
      </c>
    </row>
    <row r="50" spans="1:34">
      <c r="A50" s="73" t="s">
        <v>258</v>
      </c>
      <c r="B50" s="73" t="s">
        <v>96</v>
      </c>
      <c r="C50" s="74"/>
      <c r="D50" s="74">
        <f t="shared" ref="D50:M50" si="59">D45+D48+D49</f>
        <v>0</v>
      </c>
      <c r="E50" s="74">
        <f t="shared" si="59"/>
        <v>-1152.8807824909111</v>
      </c>
      <c r="F50" s="74">
        <f t="shared" si="59"/>
        <v>-1150.2273095456567</v>
      </c>
      <c r="G50" s="74">
        <f t="shared" si="59"/>
        <v>-1173.0752418686523</v>
      </c>
      <c r="H50" s="74">
        <f t="shared" si="59"/>
        <v>-748.23387866671908</v>
      </c>
      <c r="I50" s="74">
        <f t="shared" si="59"/>
        <v>-607.98632868508855</v>
      </c>
      <c r="J50" s="74">
        <f t="shared" si="59"/>
        <v>-459.76752049909442</v>
      </c>
      <c r="K50" s="74">
        <f t="shared" si="59"/>
        <v>-322.62801794945625</v>
      </c>
      <c r="L50" s="74">
        <f t="shared" si="59"/>
        <v>-136.22205368489065</v>
      </c>
      <c r="M50" s="74">
        <f t="shared" si="59"/>
        <v>40.467421640442431</v>
      </c>
      <c r="N50" s="74">
        <f t="shared" ref="N50:O50" si="60">N45+N48+N49</f>
        <v>227.28459729244449</v>
      </c>
      <c r="O50" s="74">
        <f t="shared" si="60"/>
        <v>405.29203295299089</v>
      </c>
      <c r="P50" s="74">
        <f t="shared" ref="P50:W50" si="61">P45+P48+P49</f>
        <v>640.18845472120404</v>
      </c>
      <c r="Q50" s="74">
        <f t="shared" si="61"/>
        <v>869.02862536387011</v>
      </c>
      <c r="R50" s="74">
        <f t="shared" si="61"/>
        <v>1111.8890322886291</v>
      </c>
      <c r="S50" s="74">
        <f t="shared" si="61"/>
        <v>1350.0774005584815</v>
      </c>
      <c r="T50" s="74">
        <f t="shared" si="61"/>
        <v>1594.6964460623121</v>
      </c>
      <c r="U50" s="74">
        <f t="shared" si="61"/>
        <v>1827.1268017960113</v>
      </c>
      <c r="V50" s="74">
        <f t="shared" si="61"/>
        <v>1879.8991431606371</v>
      </c>
      <c r="W50" s="74">
        <f t="shared" si="61"/>
        <v>1914.2092842927034</v>
      </c>
      <c r="X50" s="74">
        <f t="shared" ref="X50:AA50" si="62">X45+X48+X49</f>
        <v>1983.1552345543528</v>
      </c>
      <c r="Y50" s="74">
        <f t="shared" si="62"/>
        <v>2033.499204967552</v>
      </c>
      <c r="Z50" s="74">
        <f t="shared" si="62"/>
        <v>2084.6540489776121</v>
      </c>
      <c r="AA50" s="74">
        <f t="shared" si="62"/>
        <v>2117.2328270560224</v>
      </c>
      <c r="AC50" s="74">
        <f t="shared" ref="AC50:AH50" si="63">AC45+AC48+AC49</f>
        <v>0</v>
      </c>
      <c r="AD50" s="74">
        <f t="shared" si="63"/>
        <v>0</v>
      </c>
      <c r="AE50" s="74">
        <f t="shared" si="63"/>
        <v>0</v>
      </c>
      <c r="AF50" s="74">
        <f t="shared" si="63"/>
        <v>0</v>
      </c>
      <c r="AG50" s="74">
        <f t="shared" si="63"/>
        <v>0</v>
      </c>
      <c r="AH50" s="74">
        <f t="shared" si="63"/>
        <v>0</v>
      </c>
    </row>
    <row r="51" spans="1:34">
      <c r="A51" s="108" t="s">
        <v>259</v>
      </c>
      <c r="B51" s="108" t="s">
        <v>49</v>
      </c>
      <c r="C51" s="109"/>
      <c r="D51" s="109">
        <f t="shared" ref="D51:M51" si="64">IF(D$43&lt;&gt;0,D50/D$43,0)</f>
        <v>0</v>
      </c>
      <c r="E51" s="109">
        <f t="shared" si="64"/>
        <v>0</v>
      </c>
      <c r="F51" s="109">
        <f t="shared" si="64"/>
        <v>-26.45611109720868</v>
      </c>
      <c r="G51" s="109">
        <f t="shared" si="64"/>
        <v>0</v>
      </c>
      <c r="H51" s="109">
        <f t="shared" si="64"/>
        <v>-0.95886613538005383</v>
      </c>
      <c r="I51" s="109">
        <f t="shared" si="64"/>
        <v>-0.57865176115181971</v>
      </c>
      <c r="J51" s="109">
        <f t="shared" si="64"/>
        <v>-0.34403276220972523</v>
      </c>
      <c r="K51" s="109">
        <f t="shared" si="64"/>
        <v>-0.19694787654217358</v>
      </c>
      <c r="L51" s="109">
        <f t="shared" si="64"/>
        <v>-6.949875906063202E-2</v>
      </c>
      <c r="M51" s="109">
        <f t="shared" si="64"/>
        <v>1.7589666787423235E-2</v>
      </c>
      <c r="N51" s="109">
        <f t="shared" ref="N51:O51" si="65">IF(N$43&lt;&gt;0,N50/N$43,0)</f>
        <v>8.5422581606710568E-2</v>
      </c>
      <c r="O51" s="109">
        <f t="shared" si="65"/>
        <v>0.13326834804444665</v>
      </c>
      <c r="P51" s="109">
        <f t="shared" ref="P51:W51" si="66">IF(P$43&lt;&gt;0,P50/P$43,0)</f>
        <v>0.18520967441878738</v>
      </c>
      <c r="Q51" s="109">
        <f t="shared" si="66"/>
        <v>0.22296253132706612</v>
      </c>
      <c r="R51" s="109">
        <f t="shared" si="66"/>
        <v>0.25468595795812227</v>
      </c>
      <c r="S51" s="109">
        <f t="shared" si="66"/>
        <v>0.27766988212393096</v>
      </c>
      <c r="T51" s="109">
        <f t="shared" si="66"/>
        <v>0.30112251215955127</v>
      </c>
      <c r="U51" s="109">
        <f t="shared" si="66"/>
        <v>0.31812693017521881</v>
      </c>
      <c r="V51" s="109">
        <f t="shared" si="66"/>
        <v>0.32160024126492276</v>
      </c>
      <c r="W51" s="109">
        <f t="shared" si="66"/>
        <v>0.32175203602723329</v>
      </c>
      <c r="X51" s="109">
        <f t="shared" ref="X51:AA51" si="67">IF(X$43&lt;&gt;0,X50/X$43,0)</f>
        <v>0.32805698930217808</v>
      </c>
      <c r="Y51" s="109">
        <f t="shared" si="67"/>
        <v>0.33105281877076659</v>
      </c>
      <c r="Z51" s="109">
        <f t="shared" si="67"/>
        <v>0.3340011602826658</v>
      </c>
      <c r="AA51" s="109">
        <f t="shared" si="67"/>
        <v>0.33384378818396254</v>
      </c>
      <c r="AC51" s="109">
        <f t="shared" ref="AC51:AH51" si="68">IF(AC$43&lt;&gt;0,AC50/AC$43,0)</f>
        <v>0</v>
      </c>
      <c r="AD51" s="109">
        <f t="shared" si="68"/>
        <v>0</v>
      </c>
      <c r="AE51" s="109">
        <f t="shared" si="68"/>
        <v>0</v>
      </c>
      <c r="AF51" s="109">
        <f t="shared" si="68"/>
        <v>0</v>
      </c>
      <c r="AG51" s="109">
        <f t="shared" si="68"/>
        <v>0</v>
      </c>
      <c r="AH51" s="109">
        <f t="shared" si="68"/>
        <v>0</v>
      </c>
    </row>
    <row r="52" spans="1:34" ht="3.75" customHeight="1">
      <c r="A52" s="108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C52" s="109"/>
      <c r="AD52" s="109"/>
      <c r="AE52" s="109"/>
      <c r="AF52" s="109"/>
      <c r="AG52" s="109"/>
      <c r="AH52" s="109"/>
    </row>
    <row r="53" spans="1:34">
      <c r="A53" s="39" t="s">
        <v>260</v>
      </c>
      <c r="B53" s="39" t="s">
        <v>96</v>
      </c>
      <c r="D53" s="40">
        <f>-Инвестиции!D38</f>
        <v>0</v>
      </c>
      <c r="E53" s="40">
        <f>-Инвестиции!E38</f>
        <v>0</v>
      </c>
      <c r="F53" s="40">
        <f>-Инвестиции!F38</f>
        <v>0</v>
      </c>
      <c r="G53" s="40">
        <f>-Инвестиции!G38</f>
        <v>0</v>
      </c>
      <c r="H53" s="40">
        <f>-Инвестиции!H38</f>
        <v>0</v>
      </c>
      <c r="I53" s="40">
        <f>-Инвестиции!I38</f>
        <v>0</v>
      </c>
      <c r="J53" s="40">
        <f>-Инвестиции!J38</f>
        <v>0</v>
      </c>
      <c r="K53" s="40">
        <f>-Инвестиции!K38</f>
        <v>0</v>
      </c>
      <c r="L53" s="40">
        <f>-Инвестиции!L38</f>
        <v>0</v>
      </c>
      <c r="M53" s="40">
        <f>-Инвестиции!M38</f>
        <v>0</v>
      </c>
      <c r="N53" s="40">
        <f>-Инвестиции!N38</f>
        <v>0</v>
      </c>
      <c r="O53" s="40">
        <f>-Инвестиции!O38</f>
        <v>0</v>
      </c>
      <c r="P53" s="40">
        <f>-Инвестиции!P38</f>
        <v>0</v>
      </c>
      <c r="Q53" s="40">
        <f>-Инвестиции!Q38</f>
        <v>0</v>
      </c>
      <c r="R53" s="40">
        <f>-Инвестиции!R38</f>
        <v>0</v>
      </c>
      <c r="S53" s="40">
        <f>-Инвестиции!S38</f>
        <v>0</v>
      </c>
      <c r="T53" s="40">
        <f>-Инвестиции!T38</f>
        <v>0</v>
      </c>
      <c r="U53" s="40">
        <f>-Инвестиции!U38</f>
        <v>0</v>
      </c>
      <c r="V53" s="40">
        <f>-Инвестиции!V38</f>
        <v>0</v>
      </c>
      <c r="W53" s="40">
        <f>-Инвестиции!W38</f>
        <v>0</v>
      </c>
      <c r="X53" s="40">
        <f>-Инвестиции!X38</f>
        <v>0</v>
      </c>
      <c r="Y53" s="40">
        <f>-Инвестиции!Y38</f>
        <v>0</v>
      </c>
      <c r="Z53" s="40">
        <f>-Инвестиции!Z38</f>
        <v>0</v>
      </c>
      <c r="AA53" s="40">
        <f>-Инвестиции!AA38</f>
        <v>0</v>
      </c>
      <c r="AC53" s="40">
        <f t="shared" ref="AC53:AH53" si="69">SUMIF($D$4:$AA$4,AC$5,$D53:$AA53)</f>
        <v>0</v>
      </c>
      <c r="AD53" s="40">
        <f t="shared" si="69"/>
        <v>0</v>
      </c>
      <c r="AE53" s="40">
        <f t="shared" si="69"/>
        <v>0</v>
      </c>
      <c r="AF53" s="40">
        <f t="shared" si="69"/>
        <v>0</v>
      </c>
      <c r="AG53" s="40">
        <f t="shared" si="69"/>
        <v>0</v>
      </c>
      <c r="AH53" s="40">
        <f t="shared" si="69"/>
        <v>0</v>
      </c>
    </row>
    <row r="54" spans="1:34">
      <c r="A54" s="38" t="s">
        <v>261</v>
      </c>
      <c r="B54" s="38" t="s">
        <v>96</v>
      </c>
      <c r="C54" s="75"/>
      <c r="D54" s="75">
        <f t="shared" ref="D54:O54" si="70">D50+D53</f>
        <v>0</v>
      </c>
      <c r="E54" s="75">
        <f t="shared" si="70"/>
        <v>-1152.8807824909111</v>
      </c>
      <c r="F54" s="75">
        <f t="shared" si="70"/>
        <v>-1150.2273095456567</v>
      </c>
      <c r="G54" s="75">
        <f t="shared" si="70"/>
        <v>-1173.0752418686523</v>
      </c>
      <c r="H54" s="75">
        <f t="shared" si="70"/>
        <v>-748.23387866671908</v>
      </c>
      <c r="I54" s="75">
        <f t="shared" si="70"/>
        <v>-607.98632868508855</v>
      </c>
      <c r="J54" s="75">
        <f t="shared" si="70"/>
        <v>-459.76752049909442</v>
      </c>
      <c r="K54" s="75">
        <f t="shared" si="70"/>
        <v>-322.62801794945625</v>
      </c>
      <c r="L54" s="75">
        <f t="shared" si="70"/>
        <v>-136.22205368489065</v>
      </c>
      <c r="M54" s="75">
        <f t="shared" si="70"/>
        <v>40.467421640442431</v>
      </c>
      <c r="N54" s="75">
        <f t="shared" si="70"/>
        <v>227.28459729244449</v>
      </c>
      <c r="O54" s="75">
        <f t="shared" si="70"/>
        <v>405.29203295299089</v>
      </c>
      <c r="P54" s="75">
        <f t="shared" ref="P54:W54" si="71">P50+P53</f>
        <v>640.18845472120404</v>
      </c>
      <c r="Q54" s="75">
        <f t="shared" si="71"/>
        <v>869.02862536387011</v>
      </c>
      <c r="R54" s="75">
        <f t="shared" si="71"/>
        <v>1111.8890322886291</v>
      </c>
      <c r="S54" s="75">
        <f t="shared" si="71"/>
        <v>1350.0774005584815</v>
      </c>
      <c r="T54" s="75">
        <f t="shared" si="71"/>
        <v>1594.6964460623121</v>
      </c>
      <c r="U54" s="75">
        <f t="shared" si="71"/>
        <v>1827.1268017960113</v>
      </c>
      <c r="V54" s="75">
        <f t="shared" si="71"/>
        <v>1879.8991431606371</v>
      </c>
      <c r="W54" s="75">
        <f t="shared" si="71"/>
        <v>1914.2092842927034</v>
      </c>
      <c r="X54" s="75">
        <f t="shared" ref="X54:AA54" si="72">X50+X53</f>
        <v>1983.1552345543528</v>
      </c>
      <c r="Y54" s="75">
        <f t="shared" si="72"/>
        <v>2033.499204967552</v>
      </c>
      <c r="Z54" s="75">
        <f t="shared" si="72"/>
        <v>2084.6540489776121</v>
      </c>
      <c r="AA54" s="75">
        <f t="shared" si="72"/>
        <v>2117.2328270560224</v>
      </c>
      <c r="AC54" s="75">
        <f t="shared" ref="AC54:AH54" si="73">AC50+AC53</f>
        <v>0</v>
      </c>
      <c r="AD54" s="75">
        <f t="shared" si="73"/>
        <v>0</v>
      </c>
      <c r="AE54" s="75">
        <f t="shared" si="73"/>
        <v>0</v>
      </c>
      <c r="AF54" s="75">
        <f t="shared" si="73"/>
        <v>0</v>
      </c>
      <c r="AG54" s="75">
        <f t="shared" si="73"/>
        <v>0</v>
      </c>
      <c r="AH54" s="75">
        <f t="shared" si="73"/>
        <v>0</v>
      </c>
    </row>
    <row r="55" spans="1:34" ht="6.75" customHeight="1">
      <c r="A55" s="38"/>
      <c r="B55" s="38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C55" s="75"/>
      <c r="AD55" s="75"/>
      <c r="AE55" s="75"/>
      <c r="AF55" s="75"/>
      <c r="AG55" s="75"/>
      <c r="AH55" s="75"/>
    </row>
    <row r="56" spans="1:34">
      <c r="A56" s="39" t="s">
        <v>262</v>
      </c>
      <c r="B56" s="39" t="s">
        <v>96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C56" s="40">
        <f t="shared" ref="AC56:AH56" si="74">SUMIF($D$4:$AA$4,AC$5,$D56:$AA56)</f>
        <v>0</v>
      </c>
      <c r="AD56" s="40">
        <f t="shared" si="74"/>
        <v>0</v>
      </c>
      <c r="AE56" s="40">
        <f t="shared" si="74"/>
        <v>0</v>
      </c>
      <c r="AF56" s="40">
        <f t="shared" si="74"/>
        <v>0</v>
      </c>
      <c r="AG56" s="40">
        <f t="shared" si="74"/>
        <v>0</v>
      </c>
      <c r="AH56" s="40">
        <f t="shared" si="74"/>
        <v>0</v>
      </c>
    </row>
    <row r="57" spans="1:34">
      <c r="A57" s="38" t="s">
        <v>263</v>
      </c>
      <c r="B57" s="38" t="s">
        <v>96</v>
      </c>
      <c r="C57" s="75"/>
      <c r="D57" s="75">
        <f t="shared" ref="D57:O57" si="75">D54+D56</f>
        <v>0</v>
      </c>
      <c r="E57" s="75">
        <f t="shared" si="75"/>
        <v>-1152.8807824909111</v>
      </c>
      <c r="F57" s="75">
        <f t="shared" si="75"/>
        <v>-1150.2273095456567</v>
      </c>
      <c r="G57" s="75">
        <f t="shared" si="75"/>
        <v>-1173.0752418686523</v>
      </c>
      <c r="H57" s="75">
        <f t="shared" si="75"/>
        <v>-748.23387866671908</v>
      </c>
      <c r="I57" s="75">
        <f t="shared" si="75"/>
        <v>-607.98632868508855</v>
      </c>
      <c r="J57" s="75">
        <f t="shared" si="75"/>
        <v>-459.76752049909442</v>
      </c>
      <c r="K57" s="75">
        <f t="shared" si="75"/>
        <v>-322.62801794945625</v>
      </c>
      <c r="L57" s="75">
        <f t="shared" si="75"/>
        <v>-136.22205368489065</v>
      </c>
      <c r="M57" s="75">
        <f t="shared" si="75"/>
        <v>40.467421640442431</v>
      </c>
      <c r="N57" s="75">
        <f t="shared" si="75"/>
        <v>227.28459729244449</v>
      </c>
      <c r="O57" s="75">
        <f t="shared" si="75"/>
        <v>405.29203295299089</v>
      </c>
      <c r="P57" s="75">
        <f t="shared" ref="P57:W57" si="76">P54+P56</f>
        <v>640.18845472120404</v>
      </c>
      <c r="Q57" s="75">
        <f t="shared" si="76"/>
        <v>869.02862536387011</v>
      </c>
      <c r="R57" s="75">
        <f t="shared" si="76"/>
        <v>1111.8890322886291</v>
      </c>
      <c r="S57" s="75">
        <f t="shared" si="76"/>
        <v>1350.0774005584815</v>
      </c>
      <c r="T57" s="75">
        <f t="shared" si="76"/>
        <v>1594.6964460623121</v>
      </c>
      <c r="U57" s="75">
        <f t="shared" si="76"/>
        <v>1827.1268017960113</v>
      </c>
      <c r="V57" s="75">
        <f t="shared" si="76"/>
        <v>1879.8991431606371</v>
      </c>
      <c r="W57" s="75">
        <f t="shared" si="76"/>
        <v>1914.2092842927034</v>
      </c>
      <c r="X57" s="75">
        <f t="shared" ref="X57:AA57" si="77">X54+X56</f>
        <v>1983.1552345543528</v>
      </c>
      <c r="Y57" s="75">
        <f t="shared" si="77"/>
        <v>2033.499204967552</v>
      </c>
      <c r="Z57" s="75">
        <f t="shared" si="77"/>
        <v>2084.6540489776121</v>
      </c>
      <c r="AA57" s="75">
        <f t="shared" si="77"/>
        <v>2117.2328270560224</v>
      </c>
      <c r="AC57" s="75">
        <f t="shared" ref="AC57:AH57" si="78">AC54+AC56</f>
        <v>0</v>
      </c>
      <c r="AD57" s="75">
        <f t="shared" si="78"/>
        <v>0</v>
      </c>
      <c r="AE57" s="75">
        <f t="shared" si="78"/>
        <v>0</v>
      </c>
      <c r="AF57" s="75">
        <f t="shared" si="78"/>
        <v>0</v>
      </c>
      <c r="AG57" s="75">
        <f t="shared" si="78"/>
        <v>0</v>
      </c>
      <c r="AH57" s="75">
        <f t="shared" si="78"/>
        <v>0</v>
      </c>
    </row>
    <row r="58" spans="1:34">
      <c r="A58" s="40"/>
      <c r="B58" s="40"/>
      <c r="P58" s="40"/>
    </row>
    <row r="59" spans="1:34">
      <c r="A59" s="39" t="s">
        <v>235</v>
      </c>
      <c r="B59" s="39" t="s">
        <v>96</v>
      </c>
      <c r="D59" s="40">
        <f>(C60-D60)*Предположения!D16</f>
        <v>0</v>
      </c>
      <c r="E59" s="40">
        <f>(D60-E60)*Предположения!E16</f>
        <v>288.22019562272777</v>
      </c>
      <c r="F59" s="40">
        <f>(E60-F60)*Предположения!F16</f>
        <v>287.55682738641411</v>
      </c>
      <c r="G59" s="40">
        <f>(F60-G60)*Предположения!G16</f>
        <v>293.26881046716312</v>
      </c>
      <c r="H59" s="40">
        <f>(G60-H60)*Предположения!H16</f>
        <v>187.05846966667968</v>
      </c>
      <c r="I59" s="40">
        <f>(H60-I60)*Предположения!I16</f>
        <v>151.99658217127217</v>
      </c>
      <c r="J59" s="40">
        <f>(I60-J60)*Предположения!J16</f>
        <v>114.94188012477366</v>
      </c>
      <c r="K59" s="40">
        <f>(J60-K60)*Предположения!K16</f>
        <v>80.65700448736402</v>
      </c>
      <c r="L59" s="40">
        <f>(K60-L60)*Предположения!L16</f>
        <v>34.055513421222713</v>
      </c>
      <c r="M59" s="40">
        <f>(L60-M60)*Предположения!M16</f>
        <v>-10.116855410110702</v>
      </c>
      <c r="N59" s="40">
        <f>(M60-N60)*Предположения!N16</f>
        <v>-56.821149323111058</v>
      </c>
      <c r="O59" s="40">
        <f>(N60-O60)*Предположения!O16</f>
        <v>-101.32300823824767</v>
      </c>
      <c r="P59" s="40">
        <f>(O60-P60)*Предположения!P16</f>
        <v>-160.04711368030098</v>
      </c>
      <c r="Q59" s="40">
        <f>(P60-Q60)*Предположения!Q16</f>
        <v>-217.25715634096753</v>
      </c>
      <c r="R59" s="40">
        <f>(Q60-R60)*Предположения!R16</f>
        <v>-277.97225807215727</v>
      </c>
      <c r="S59" s="40">
        <f>(R60-S60)*Предположения!S16</f>
        <v>-337.51935013962037</v>
      </c>
      <c r="T59" s="40">
        <f>(S60-T60)*Предположения!T16</f>
        <v>-276.69839214310167</v>
      </c>
      <c r="U59" s="40">
        <f>(T60-U60)*Предположения!U16</f>
        <v>0</v>
      </c>
      <c r="V59" s="40">
        <f>(U60-V60)*Предположения!V16</f>
        <v>0</v>
      </c>
      <c r="W59" s="40">
        <f>(V60-W60)*Предположения!W16</f>
        <v>0</v>
      </c>
      <c r="X59" s="40">
        <f>(W60-X60)*Предположения!X16</f>
        <v>0</v>
      </c>
      <c r="Y59" s="40">
        <f>(X60-Y60)*Предположения!Y16</f>
        <v>0</v>
      </c>
      <c r="Z59" s="40">
        <f>(Y60-Z60)*Предположения!Z16</f>
        <v>0</v>
      </c>
      <c r="AA59" s="40">
        <f>(Z60-AA60)*Предположения!AA16</f>
        <v>0</v>
      </c>
      <c r="AC59" s="40">
        <f t="shared" ref="AC59:AH63" si="79">SUMIF($D$4:$AA$4,AC$5,$D59:$AA59)</f>
        <v>0</v>
      </c>
      <c r="AD59" s="40">
        <f t="shared" si="79"/>
        <v>0</v>
      </c>
      <c r="AE59" s="40">
        <f t="shared" si="79"/>
        <v>0</v>
      </c>
      <c r="AF59" s="40">
        <f t="shared" si="79"/>
        <v>0</v>
      </c>
      <c r="AG59" s="40">
        <f t="shared" si="79"/>
        <v>0</v>
      </c>
      <c r="AH59" s="40">
        <f t="shared" si="79"/>
        <v>0</v>
      </c>
    </row>
    <row r="60" spans="1:34">
      <c r="A60" s="48" t="s">
        <v>264</v>
      </c>
      <c r="B60" s="49" t="s">
        <v>96</v>
      </c>
      <c r="C60" s="83"/>
      <c r="D60" s="83">
        <f t="shared" ref="D60:O60" si="80">IF(C60+D57&lt;0,C60+D57,0)</f>
        <v>0</v>
      </c>
      <c r="E60" s="83">
        <f t="shared" si="80"/>
        <v>-1152.8807824909111</v>
      </c>
      <c r="F60" s="83">
        <f t="shared" si="80"/>
        <v>-2303.1080920365675</v>
      </c>
      <c r="G60" s="83">
        <f t="shared" si="80"/>
        <v>-3476.18333390522</v>
      </c>
      <c r="H60" s="83">
        <f t="shared" si="80"/>
        <v>-4224.4172125719388</v>
      </c>
      <c r="I60" s="83">
        <f t="shared" si="80"/>
        <v>-4832.4035412570274</v>
      </c>
      <c r="J60" s="83">
        <f t="shared" si="80"/>
        <v>-5292.1710617561221</v>
      </c>
      <c r="K60" s="83">
        <f t="shared" si="80"/>
        <v>-5614.7990797055782</v>
      </c>
      <c r="L60" s="83">
        <f t="shared" si="80"/>
        <v>-5751.021133390469</v>
      </c>
      <c r="M60" s="83">
        <f t="shared" si="80"/>
        <v>-5710.5537117500262</v>
      </c>
      <c r="N60" s="83">
        <f t="shared" si="80"/>
        <v>-5483.269114457582</v>
      </c>
      <c r="O60" s="83">
        <f t="shared" si="80"/>
        <v>-5077.9770815045913</v>
      </c>
      <c r="P60" s="83">
        <f t="shared" ref="P60:AA60" si="81">IF(O60+P57&lt;0,O60+P57,0)</f>
        <v>-4437.7886267833874</v>
      </c>
      <c r="Q60" s="83">
        <f t="shared" si="81"/>
        <v>-3568.7600014195173</v>
      </c>
      <c r="R60" s="83">
        <f t="shared" si="81"/>
        <v>-2456.8709691308882</v>
      </c>
      <c r="S60" s="83">
        <f t="shared" si="81"/>
        <v>-1106.7935685724067</v>
      </c>
      <c r="T60" s="83">
        <f t="shared" si="81"/>
        <v>0</v>
      </c>
      <c r="U60" s="83">
        <f t="shared" si="81"/>
        <v>0</v>
      </c>
      <c r="V60" s="83">
        <f t="shared" si="81"/>
        <v>0</v>
      </c>
      <c r="W60" s="83">
        <f t="shared" si="81"/>
        <v>0</v>
      </c>
      <c r="X60" s="83">
        <f t="shared" si="81"/>
        <v>0</v>
      </c>
      <c r="Y60" s="83">
        <f t="shared" si="81"/>
        <v>0</v>
      </c>
      <c r="Z60" s="83">
        <f t="shared" si="81"/>
        <v>0</v>
      </c>
      <c r="AA60" s="83">
        <f t="shared" si="81"/>
        <v>0</v>
      </c>
      <c r="AC60" s="83"/>
      <c r="AD60" s="83"/>
      <c r="AE60" s="83"/>
      <c r="AF60" s="83"/>
      <c r="AG60" s="83"/>
      <c r="AH60" s="83"/>
    </row>
    <row r="61" spans="1:34">
      <c r="A61" s="48" t="s">
        <v>265</v>
      </c>
      <c r="B61" s="49" t="s">
        <v>96</v>
      </c>
      <c r="C61" s="83"/>
      <c r="D61" s="83">
        <f t="shared" ref="D61:O61" si="82">IF(D57&gt;0,-D59,0)</f>
        <v>0</v>
      </c>
      <c r="E61" s="83">
        <f t="shared" si="82"/>
        <v>0</v>
      </c>
      <c r="F61" s="83">
        <f t="shared" si="82"/>
        <v>0</v>
      </c>
      <c r="G61" s="83">
        <f t="shared" si="82"/>
        <v>0</v>
      </c>
      <c r="H61" s="83">
        <f t="shared" si="82"/>
        <v>0</v>
      </c>
      <c r="I61" s="83">
        <f t="shared" si="82"/>
        <v>0</v>
      </c>
      <c r="J61" s="83">
        <f t="shared" si="82"/>
        <v>0</v>
      </c>
      <c r="K61" s="83">
        <f t="shared" si="82"/>
        <v>0</v>
      </c>
      <c r="L61" s="83">
        <f t="shared" si="82"/>
        <v>0</v>
      </c>
      <c r="M61" s="83">
        <f t="shared" si="82"/>
        <v>10.116855410110702</v>
      </c>
      <c r="N61" s="83">
        <f t="shared" si="82"/>
        <v>56.821149323111058</v>
      </c>
      <c r="O61" s="83">
        <f t="shared" si="82"/>
        <v>101.32300823824767</v>
      </c>
      <c r="P61" s="83">
        <f t="shared" ref="P61:W61" si="83">IF(P57&gt;0,-P59,0)</f>
        <v>160.04711368030098</v>
      </c>
      <c r="Q61" s="83">
        <f t="shared" si="83"/>
        <v>217.25715634096753</v>
      </c>
      <c r="R61" s="83">
        <f t="shared" si="83"/>
        <v>277.97225807215727</v>
      </c>
      <c r="S61" s="83">
        <f t="shared" si="83"/>
        <v>337.51935013962037</v>
      </c>
      <c r="T61" s="83">
        <f t="shared" si="83"/>
        <v>276.69839214310167</v>
      </c>
      <c r="U61" s="83">
        <f t="shared" si="83"/>
        <v>0</v>
      </c>
      <c r="V61" s="83">
        <f t="shared" si="83"/>
        <v>0</v>
      </c>
      <c r="W61" s="83">
        <f t="shared" si="83"/>
        <v>0</v>
      </c>
      <c r="X61" s="83">
        <f t="shared" ref="X61:AA61" si="84">IF(X57&gt;0,-X59,0)</f>
        <v>0</v>
      </c>
      <c r="Y61" s="83">
        <f t="shared" si="84"/>
        <v>0</v>
      </c>
      <c r="Z61" s="83">
        <f t="shared" si="84"/>
        <v>0</v>
      </c>
      <c r="AA61" s="83">
        <f t="shared" si="84"/>
        <v>0</v>
      </c>
      <c r="AC61" s="83"/>
      <c r="AD61" s="83"/>
      <c r="AE61" s="83"/>
      <c r="AF61" s="83"/>
      <c r="AG61" s="83"/>
      <c r="AH61" s="83"/>
    </row>
    <row r="62" spans="1:34">
      <c r="A62" s="39" t="s">
        <v>266</v>
      </c>
      <c r="B62" s="39" t="s">
        <v>96</v>
      </c>
      <c r="D62" s="40">
        <f>-IF(D57&gt;0,D57*Предположения!D16-D61,0)</f>
        <v>0</v>
      </c>
      <c r="E62" s="40">
        <f>-IF(E57&gt;0,E57*Предположения!E16-E61,0)</f>
        <v>0</v>
      </c>
      <c r="F62" s="40">
        <f>-IF(F57&gt;0,F57*Предположения!F16-F61,0)</f>
        <v>0</v>
      </c>
      <c r="G62" s="40">
        <f>-IF(G57&gt;0,G57*Предположения!G16-G61,0)</f>
        <v>0</v>
      </c>
      <c r="H62" s="40">
        <f>-IF(H57&gt;0,H57*Предположения!H16-H61,0)</f>
        <v>0</v>
      </c>
      <c r="I62" s="40">
        <f>-IF(I57&gt;0,I57*Предположения!I16-I61,0)</f>
        <v>0</v>
      </c>
      <c r="J62" s="40">
        <f>-IF(J57&gt;0,J57*Предположения!J16-J61,0)</f>
        <v>0</v>
      </c>
      <c r="K62" s="40">
        <f>-IF(K57&gt;0,K57*Предположения!K16-K61,0)</f>
        <v>0</v>
      </c>
      <c r="L62" s="40">
        <f>-IF(L57&gt;0,L57*Предположения!L16-L61,0)</f>
        <v>0</v>
      </c>
      <c r="M62" s="40">
        <f>-IF(M57&gt;0,M57*Предположения!M16-M61,0)</f>
        <v>9.4146912488213275E-14</v>
      </c>
      <c r="N62" s="40">
        <f>-IF(N57&gt;0,N57*Предположения!N16-N61,0)</f>
        <v>-6.3948846218409017E-14</v>
      </c>
      <c r="O62" s="40">
        <f>-IF(O57&gt;0,O57*Предположения!O16-O61,0)</f>
        <v>-5.6843418860808015E-14</v>
      </c>
      <c r="P62" s="40">
        <f>-IF(P57&gt;0,P57*Предположения!P16-P61,0)</f>
        <v>-2.8421709430404007E-14</v>
      </c>
      <c r="Q62" s="40">
        <f>-IF(Q57&gt;0,Q57*Предположения!Q16-Q61,0)</f>
        <v>0</v>
      </c>
      <c r="R62" s="40">
        <f>-IF(R57&gt;0,R57*Предположения!R16-R61,0)</f>
        <v>0</v>
      </c>
      <c r="S62" s="40">
        <f>-IF(S57&gt;0,S57*Предположения!S16-S61,0)</f>
        <v>0</v>
      </c>
      <c r="T62" s="40">
        <f>-IF(T57&gt;0,T57*Предположения!T16-T61,0)</f>
        <v>-121.97571937247636</v>
      </c>
      <c r="U62" s="40">
        <f>-IF(U57&gt;0,U57*Предположения!U16-U61,0)</f>
        <v>-456.78170044900281</v>
      </c>
      <c r="V62" s="40">
        <f>-IF(V57&gt;0,V57*Предположения!V16-V61,0)</f>
        <v>-469.97478579015927</v>
      </c>
      <c r="W62" s="40">
        <f>-IF(W57&gt;0,W57*Предположения!W16-W61,0)</f>
        <v>-478.55232107317585</v>
      </c>
      <c r="X62" s="40">
        <f>-IF(X57&gt;0,X57*Предположения!X16-X61,0)</f>
        <v>-495.78880863858819</v>
      </c>
      <c r="Y62" s="40">
        <f>-IF(Y57&gt;0,Y57*Предположения!Y16-Y61,0)</f>
        <v>-508.37480124188801</v>
      </c>
      <c r="Z62" s="40">
        <f>-IF(Z57&gt;0,Z57*Предположения!Z16-Z61,0)</f>
        <v>-521.16351224440302</v>
      </c>
      <c r="AA62" s="40">
        <f>-IF(AA57&gt;0,AA57*Предположения!AA16-AA61,0)</f>
        <v>-529.3082067640056</v>
      </c>
      <c r="AC62" s="40">
        <f t="shared" si="79"/>
        <v>0</v>
      </c>
      <c r="AD62" s="40">
        <f t="shared" si="79"/>
        <v>0</v>
      </c>
      <c r="AE62" s="40">
        <f t="shared" si="79"/>
        <v>0</v>
      </c>
      <c r="AF62" s="40">
        <f t="shared" si="79"/>
        <v>0</v>
      </c>
      <c r="AG62" s="40">
        <f t="shared" si="79"/>
        <v>0</v>
      </c>
      <c r="AH62" s="40">
        <f t="shared" si="79"/>
        <v>0</v>
      </c>
    </row>
    <row r="63" spans="1:34">
      <c r="A63" s="73" t="s">
        <v>267</v>
      </c>
      <c r="B63" s="73" t="s">
        <v>96</v>
      </c>
      <c r="C63" s="74"/>
      <c r="D63" s="74">
        <f>D57+D62+D59</f>
        <v>0</v>
      </c>
      <c r="E63" s="74">
        <f t="shared" ref="E63:O63" si="85">E57+E62+E59</f>
        <v>-864.66058686818337</v>
      </c>
      <c r="F63" s="74">
        <f t="shared" si="85"/>
        <v>-862.67048215924251</v>
      </c>
      <c r="G63" s="74">
        <f t="shared" si="85"/>
        <v>-879.80643140148914</v>
      </c>
      <c r="H63" s="74">
        <f t="shared" si="85"/>
        <v>-561.17540900003939</v>
      </c>
      <c r="I63" s="74">
        <f t="shared" si="85"/>
        <v>-455.98974651381639</v>
      </c>
      <c r="J63" s="74">
        <f t="shared" si="85"/>
        <v>-344.82564037432076</v>
      </c>
      <c r="K63" s="74">
        <f t="shared" si="85"/>
        <v>-241.97101346209223</v>
      </c>
      <c r="L63" s="74">
        <f t="shared" si="85"/>
        <v>-102.16654026366794</v>
      </c>
      <c r="M63" s="74">
        <f t="shared" si="85"/>
        <v>30.350566230331822</v>
      </c>
      <c r="N63" s="74">
        <f t="shared" si="85"/>
        <v>170.46344796933337</v>
      </c>
      <c r="O63" s="74">
        <f t="shared" si="85"/>
        <v>303.96902471474317</v>
      </c>
      <c r="P63" s="74">
        <f t="shared" ref="P63:W63" si="86">P57+P62+P59</f>
        <v>480.14134104090306</v>
      </c>
      <c r="Q63" s="74">
        <f t="shared" si="86"/>
        <v>651.77146902290258</v>
      </c>
      <c r="R63" s="74">
        <f t="shared" si="86"/>
        <v>833.91677421647182</v>
      </c>
      <c r="S63" s="74">
        <f t="shared" si="86"/>
        <v>1012.5580504188611</v>
      </c>
      <c r="T63" s="74">
        <f t="shared" si="86"/>
        <v>1196.0223345467341</v>
      </c>
      <c r="U63" s="74">
        <f t="shared" si="86"/>
        <v>1370.3451013470085</v>
      </c>
      <c r="V63" s="74">
        <f t="shared" si="86"/>
        <v>1409.9243573704778</v>
      </c>
      <c r="W63" s="74">
        <f t="shared" si="86"/>
        <v>1435.6569632195276</v>
      </c>
      <c r="X63" s="74">
        <f t="shared" ref="X63:AA63" si="87">X57+X62+X59</f>
        <v>1487.3664259157645</v>
      </c>
      <c r="Y63" s="74">
        <f t="shared" si="87"/>
        <v>1525.124403725664</v>
      </c>
      <c r="Z63" s="74">
        <f t="shared" si="87"/>
        <v>1563.490536733209</v>
      </c>
      <c r="AA63" s="74">
        <f t="shared" si="87"/>
        <v>1587.9246202920167</v>
      </c>
      <c r="AC63" s="74">
        <f t="shared" si="79"/>
        <v>0</v>
      </c>
      <c r="AD63" s="74">
        <f t="shared" si="79"/>
        <v>0</v>
      </c>
      <c r="AE63" s="74">
        <f t="shared" si="79"/>
        <v>0</v>
      </c>
      <c r="AF63" s="74">
        <f t="shared" si="79"/>
        <v>0</v>
      </c>
      <c r="AG63" s="74">
        <f t="shared" si="79"/>
        <v>0</v>
      </c>
      <c r="AH63" s="74">
        <f t="shared" si="79"/>
        <v>0</v>
      </c>
    </row>
    <row r="64" spans="1:34">
      <c r="A64" s="108" t="s">
        <v>268</v>
      </c>
      <c r="B64" s="108" t="s">
        <v>49</v>
      </c>
      <c r="C64" s="97"/>
      <c r="D64" s="109">
        <f>IF(D$43&lt;&gt;0,D63/D$43,0)</f>
        <v>0</v>
      </c>
      <c r="E64" s="109">
        <f t="shared" ref="E64:O64" si="88">IF(E$43&lt;&gt;0,E63/E$43,0)</f>
        <v>0</v>
      </c>
      <c r="F64" s="109">
        <f t="shared" si="88"/>
        <v>-19.842083322906511</v>
      </c>
      <c r="G64" s="109">
        <f t="shared" si="88"/>
        <v>0</v>
      </c>
      <c r="H64" s="109">
        <f t="shared" si="88"/>
        <v>-0.71914960153504048</v>
      </c>
      <c r="I64" s="109">
        <f t="shared" si="88"/>
        <v>-0.43398882086386475</v>
      </c>
      <c r="J64" s="109">
        <f t="shared" si="88"/>
        <v>-0.25802457165729387</v>
      </c>
      <c r="K64" s="109">
        <f t="shared" si="88"/>
        <v>-0.1477109074066302</v>
      </c>
      <c r="L64" s="109">
        <f t="shared" si="88"/>
        <v>-5.2124069295473995E-2</v>
      </c>
      <c r="M64" s="109">
        <f t="shared" si="88"/>
        <v>1.3192250090567426E-2</v>
      </c>
      <c r="N64" s="109">
        <f t="shared" si="88"/>
        <v>6.406693620503294E-2</v>
      </c>
      <c r="O64" s="109">
        <f t="shared" si="88"/>
        <v>9.9951261033334987E-2</v>
      </c>
      <c r="P64" s="109">
        <f t="shared" ref="P64:W64" si="89">IF(P$43&lt;&gt;0,P63/P$43,0)</f>
        <v>0.13890725581409055</v>
      </c>
      <c r="Q64" s="109">
        <f t="shared" si="89"/>
        <v>0.16722189849529959</v>
      </c>
      <c r="R64" s="109">
        <f t="shared" si="89"/>
        <v>0.19101446846859169</v>
      </c>
      <c r="S64" s="109">
        <f t="shared" si="89"/>
        <v>0.20825241159294819</v>
      </c>
      <c r="T64" s="109">
        <f t="shared" si="89"/>
        <v>0.22584188411966347</v>
      </c>
      <c r="U64" s="109">
        <f t="shared" si="89"/>
        <v>0.23859519763141412</v>
      </c>
      <c r="V64" s="109">
        <f t="shared" si="89"/>
        <v>0.24120018094869206</v>
      </c>
      <c r="W64" s="109">
        <f t="shared" si="89"/>
        <v>0.24131402702042498</v>
      </c>
      <c r="X64" s="109">
        <f t="shared" ref="X64:AA64" si="90">IF(X$43&lt;&gt;0,X63/X$43,0)</f>
        <v>0.24604274197663353</v>
      </c>
      <c r="Y64" s="109">
        <f t="shared" si="90"/>
        <v>0.24828961407807493</v>
      </c>
      <c r="Z64" s="109">
        <f t="shared" si="90"/>
        <v>0.25050087021199935</v>
      </c>
      <c r="AA64" s="109">
        <f t="shared" si="90"/>
        <v>0.25038284113797188</v>
      </c>
      <c r="AC64" s="109">
        <f t="shared" ref="AC64:AH64" si="91">IF(AC$43&lt;&gt;0,AC63/AC$43,0)</f>
        <v>0</v>
      </c>
      <c r="AD64" s="109">
        <f t="shared" si="91"/>
        <v>0</v>
      </c>
      <c r="AE64" s="109">
        <f t="shared" si="91"/>
        <v>0</v>
      </c>
      <c r="AF64" s="109">
        <f t="shared" si="91"/>
        <v>0</v>
      </c>
      <c r="AG64" s="109">
        <f t="shared" si="91"/>
        <v>0</v>
      </c>
      <c r="AH64" s="109">
        <f t="shared" si="91"/>
        <v>0</v>
      </c>
    </row>
    <row r="65" spans="1:34">
      <c r="A65" s="110"/>
      <c r="B65" s="110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C65" s="47"/>
      <c r="AD65" s="47"/>
      <c r="AE65" s="47"/>
      <c r="AF65" s="47"/>
      <c r="AG65" s="47"/>
      <c r="AH65" s="47"/>
    </row>
    <row r="66" spans="1:34">
      <c r="A66" s="111" t="s">
        <v>269</v>
      </c>
      <c r="B66" s="111" t="s">
        <v>49</v>
      </c>
      <c r="C66" s="109"/>
      <c r="D66" s="109">
        <f>IFERROR(-D62/D57,)</f>
        <v>0</v>
      </c>
      <c r="E66" s="109">
        <f t="shared" ref="E66:W66" si="92">IFERROR(-E62/E57,)</f>
        <v>0</v>
      </c>
      <c r="F66" s="109">
        <f t="shared" si="92"/>
        <v>0</v>
      </c>
      <c r="G66" s="109">
        <f t="shared" si="92"/>
        <v>0</v>
      </c>
      <c r="H66" s="109">
        <f t="shared" si="92"/>
        <v>0</v>
      </c>
      <c r="I66" s="109">
        <f t="shared" si="92"/>
        <v>0</v>
      </c>
      <c r="J66" s="109">
        <f t="shared" si="92"/>
        <v>0</v>
      </c>
      <c r="K66" s="109">
        <f t="shared" si="92"/>
        <v>0</v>
      </c>
      <c r="L66" s="109">
        <f t="shared" si="92"/>
        <v>0</v>
      </c>
      <c r="M66" s="109">
        <f t="shared" si="92"/>
        <v>-2.3264865581187536E-15</v>
      </c>
      <c r="N66" s="109">
        <f t="shared" si="92"/>
        <v>2.8136022845457835E-16</v>
      </c>
      <c r="O66" s="109">
        <f t="shared" si="92"/>
        <v>1.4025298855899589E-16</v>
      </c>
      <c r="P66" s="109">
        <f t="shared" si="92"/>
        <v>4.4395848161275245E-17</v>
      </c>
      <c r="Q66" s="109">
        <f t="shared" si="92"/>
        <v>0</v>
      </c>
      <c r="R66" s="109">
        <f t="shared" si="92"/>
        <v>0</v>
      </c>
      <c r="S66" s="109">
        <f t="shared" si="92"/>
        <v>0</v>
      </c>
      <c r="T66" s="109">
        <f t="shared" si="92"/>
        <v>7.6488362204395491E-2</v>
      </c>
      <c r="U66" s="109">
        <f t="shared" si="92"/>
        <v>0.25</v>
      </c>
      <c r="V66" s="109">
        <f t="shared" si="92"/>
        <v>0.25</v>
      </c>
      <c r="W66" s="109">
        <f t="shared" si="92"/>
        <v>0.25</v>
      </c>
      <c r="X66" s="109">
        <f t="shared" ref="X66:AA66" si="93">IFERROR(-X62/X57,)</f>
        <v>0.25</v>
      </c>
      <c r="Y66" s="109">
        <f t="shared" si="93"/>
        <v>0.25</v>
      </c>
      <c r="Z66" s="109">
        <f t="shared" si="93"/>
        <v>0.25</v>
      </c>
      <c r="AA66" s="109">
        <f t="shared" si="93"/>
        <v>0.25</v>
      </c>
      <c r="AC66" s="109">
        <f t="shared" ref="AC66:AH66" si="94">IFERROR(-AC62/AC57,)</f>
        <v>0</v>
      </c>
      <c r="AD66" s="109">
        <f t="shared" si="94"/>
        <v>0</v>
      </c>
      <c r="AE66" s="109">
        <f t="shared" si="94"/>
        <v>0</v>
      </c>
      <c r="AF66" s="109">
        <f t="shared" si="94"/>
        <v>0</v>
      </c>
      <c r="AG66" s="109">
        <f t="shared" si="94"/>
        <v>0</v>
      </c>
      <c r="AH66" s="109">
        <f t="shared" si="94"/>
        <v>0</v>
      </c>
    </row>
    <row r="67" spans="1:34">
      <c r="A67" s="110"/>
      <c r="B67" s="110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C67" s="47"/>
      <c r="AD67" s="47"/>
      <c r="AE67" s="47"/>
      <c r="AF67" s="47"/>
      <c r="AG67" s="47"/>
      <c r="AH67" s="47"/>
    </row>
    <row r="68" spans="1:34">
      <c r="A68" s="38"/>
      <c r="B68" s="38"/>
      <c r="C68" s="75"/>
      <c r="D68" s="75"/>
      <c r="E68" s="75"/>
      <c r="F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C68" s="75"/>
      <c r="AD68" s="75"/>
      <c r="AE68" s="75"/>
      <c r="AF68" s="75"/>
      <c r="AG68" s="75"/>
      <c r="AH68" s="75"/>
    </row>
    <row r="69" spans="1:34">
      <c r="A69" s="106" t="s">
        <v>270</v>
      </c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C69" s="107"/>
      <c r="AD69" s="107"/>
      <c r="AE69" s="107"/>
      <c r="AF69" s="107"/>
      <c r="AG69" s="107"/>
      <c r="AH69" s="107"/>
    </row>
    <row r="70" spans="1:34">
      <c r="A70" s="38" t="s">
        <v>271</v>
      </c>
      <c r="B70" s="39" t="s">
        <v>96</v>
      </c>
      <c r="P70" s="40"/>
    </row>
    <row r="71" spans="1:34">
      <c r="A71" s="39" t="s">
        <v>267</v>
      </c>
      <c r="B71" s="39" t="s">
        <v>96</v>
      </c>
      <c r="D71" s="40">
        <f>D63</f>
        <v>0</v>
      </c>
      <c r="E71" s="40">
        <f>E63</f>
        <v>-864.66058686818337</v>
      </c>
      <c r="F71" s="40">
        <f t="shared" ref="F71:K71" si="95">F63</f>
        <v>-862.67048215924251</v>
      </c>
      <c r="G71" s="40">
        <f t="shared" si="95"/>
        <v>-879.80643140148914</v>
      </c>
      <c r="H71" s="40">
        <f t="shared" si="95"/>
        <v>-561.17540900003939</v>
      </c>
      <c r="I71" s="40">
        <f t="shared" si="95"/>
        <v>-455.98974651381639</v>
      </c>
      <c r="J71" s="40">
        <f t="shared" si="95"/>
        <v>-344.82564037432076</v>
      </c>
      <c r="K71" s="40">
        <f t="shared" si="95"/>
        <v>-241.97101346209223</v>
      </c>
      <c r="L71" s="40">
        <f>L63</f>
        <v>-102.16654026366794</v>
      </c>
      <c r="M71" s="40">
        <f>M63</f>
        <v>30.350566230331822</v>
      </c>
      <c r="N71" s="40">
        <f>N63</f>
        <v>170.46344796933337</v>
      </c>
      <c r="O71" s="40">
        <f>O63</f>
        <v>303.96902471474317</v>
      </c>
      <c r="P71" s="40">
        <f t="shared" ref="P71:W71" si="96">P63</f>
        <v>480.14134104090306</v>
      </c>
      <c r="Q71" s="40">
        <f t="shared" si="96"/>
        <v>651.77146902290258</v>
      </c>
      <c r="R71" s="40">
        <f t="shared" si="96"/>
        <v>833.91677421647182</v>
      </c>
      <c r="S71" s="40">
        <f t="shared" si="96"/>
        <v>1012.5580504188611</v>
      </c>
      <c r="T71" s="40">
        <f t="shared" si="96"/>
        <v>1196.0223345467341</v>
      </c>
      <c r="U71" s="40">
        <f t="shared" si="96"/>
        <v>1370.3451013470085</v>
      </c>
      <c r="V71" s="40">
        <f t="shared" si="96"/>
        <v>1409.9243573704778</v>
      </c>
      <c r="W71" s="40">
        <f t="shared" si="96"/>
        <v>1435.6569632195276</v>
      </c>
      <c r="X71" s="40">
        <f t="shared" ref="X71:AA71" si="97">X63</f>
        <v>1487.3664259157645</v>
      </c>
      <c r="Y71" s="40">
        <f t="shared" si="97"/>
        <v>1525.124403725664</v>
      </c>
      <c r="Z71" s="40">
        <f t="shared" si="97"/>
        <v>1563.490536733209</v>
      </c>
      <c r="AA71" s="40">
        <f t="shared" si="97"/>
        <v>1587.9246202920167</v>
      </c>
      <c r="AC71" s="40">
        <f t="shared" ref="AC71:AH79" si="98">SUMIF($D$4:$AA$4,AC$5,$D71:$AA71)</f>
        <v>0</v>
      </c>
      <c r="AD71" s="40">
        <f t="shared" si="98"/>
        <v>0</v>
      </c>
      <c r="AE71" s="40">
        <f t="shared" si="98"/>
        <v>0</v>
      </c>
      <c r="AF71" s="40">
        <f t="shared" si="98"/>
        <v>0</v>
      </c>
      <c r="AG71" s="40">
        <f t="shared" si="98"/>
        <v>0</v>
      </c>
      <c r="AH71" s="40">
        <f t="shared" si="98"/>
        <v>0</v>
      </c>
    </row>
    <row r="72" spans="1:34">
      <c r="A72" s="39" t="s">
        <v>260</v>
      </c>
      <c r="B72" s="39" t="s">
        <v>96</v>
      </c>
      <c r="D72" s="40">
        <f>-D53</f>
        <v>0</v>
      </c>
      <c r="E72" s="40">
        <f t="shared" ref="E72:O72" si="99">-E53</f>
        <v>0</v>
      </c>
      <c r="F72" s="40">
        <f t="shared" si="99"/>
        <v>0</v>
      </c>
      <c r="G72" s="40">
        <f t="shared" si="99"/>
        <v>0</v>
      </c>
      <c r="H72" s="40">
        <f t="shared" si="99"/>
        <v>0</v>
      </c>
      <c r="I72" s="40">
        <f t="shared" si="99"/>
        <v>0</v>
      </c>
      <c r="J72" s="40">
        <f t="shared" si="99"/>
        <v>0</v>
      </c>
      <c r="K72" s="40">
        <f t="shared" si="99"/>
        <v>0</v>
      </c>
      <c r="L72" s="40">
        <f t="shared" si="99"/>
        <v>0</v>
      </c>
      <c r="M72" s="40">
        <f t="shared" si="99"/>
        <v>0</v>
      </c>
      <c r="N72" s="40">
        <f t="shared" si="99"/>
        <v>0</v>
      </c>
      <c r="O72" s="40">
        <f t="shared" si="99"/>
        <v>0</v>
      </c>
      <c r="P72" s="40">
        <f t="shared" ref="P72:W72" si="100">-P53</f>
        <v>0</v>
      </c>
      <c r="Q72" s="40">
        <f t="shared" si="100"/>
        <v>0</v>
      </c>
      <c r="R72" s="40">
        <f t="shared" si="100"/>
        <v>0</v>
      </c>
      <c r="S72" s="40">
        <f t="shared" si="100"/>
        <v>0</v>
      </c>
      <c r="T72" s="40">
        <f t="shared" si="100"/>
        <v>0</v>
      </c>
      <c r="U72" s="40">
        <f t="shared" si="100"/>
        <v>0</v>
      </c>
      <c r="V72" s="40">
        <f t="shared" si="100"/>
        <v>0</v>
      </c>
      <c r="W72" s="40">
        <f t="shared" si="100"/>
        <v>0</v>
      </c>
      <c r="X72" s="40">
        <f t="shared" ref="X72:AA72" si="101">-X53</f>
        <v>0</v>
      </c>
      <c r="Y72" s="40">
        <f t="shared" si="101"/>
        <v>0</v>
      </c>
      <c r="Z72" s="40">
        <f t="shared" si="101"/>
        <v>0</v>
      </c>
      <c r="AA72" s="40">
        <f t="shared" si="101"/>
        <v>0</v>
      </c>
      <c r="AC72" s="40">
        <f t="shared" si="98"/>
        <v>0</v>
      </c>
      <c r="AD72" s="40">
        <f t="shared" si="98"/>
        <v>0</v>
      </c>
      <c r="AE72" s="40">
        <f t="shared" si="98"/>
        <v>0</v>
      </c>
      <c r="AF72" s="40">
        <f t="shared" si="98"/>
        <v>0</v>
      </c>
      <c r="AG72" s="40">
        <f t="shared" si="98"/>
        <v>0</v>
      </c>
      <c r="AH72" s="40">
        <f t="shared" si="98"/>
        <v>0</v>
      </c>
    </row>
    <row r="73" spans="1:34">
      <c r="A73" s="39" t="s">
        <v>272</v>
      </c>
      <c r="B73" s="39" t="s">
        <v>96</v>
      </c>
      <c r="D73" s="40">
        <f>SUM(D74:D78)</f>
        <v>0</v>
      </c>
      <c r="E73" s="40">
        <f>SUM(E74:E78)</f>
        <v>754.94586195907914</v>
      </c>
      <c r="F73" s="40">
        <f t="shared" ref="F73:O73" si="102">SUM(F74:F78)</f>
        <v>17.43635130407236</v>
      </c>
      <c r="G73" s="40">
        <f t="shared" si="102"/>
        <v>-18.622006452589947</v>
      </c>
      <c r="H73" s="40">
        <f t="shared" si="102"/>
        <v>177.95158993040502</v>
      </c>
      <c r="I73" s="40">
        <f t="shared" si="102"/>
        <v>60.133686164521841</v>
      </c>
      <c r="J73" s="40">
        <f t="shared" si="102"/>
        <v>63.541461133822111</v>
      </c>
      <c r="K73" s="40">
        <f t="shared" si="102"/>
        <v>76.878193362627655</v>
      </c>
      <c r="L73" s="40">
        <f t="shared" si="102"/>
        <v>61.815325284926132</v>
      </c>
      <c r="M73" s="40">
        <f t="shared" si="102"/>
        <v>75.734997572403131</v>
      </c>
      <c r="N73" s="40">
        <f t="shared" si="102"/>
        <v>80.064651964075168</v>
      </c>
      <c r="O73" s="40">
        <f t="shared" si="102"/>
        <v>94.371582115974007</v>
      </c>
      <c r="P73" s="40">
        <f t="shared" ref="P73:W73" si="103">SUM(P74:P78)</f>
        <v>82.598019384756611</v>
      </c>
      <c r="Q73" s="40">
        <f t="shared" si="103"/>
        <v>98.083427764705547</v>
      </c>
      <c r="R73" s="40">
        <f t="shared" si="103"/>
        <v>104.07807601710344</v>
      </c>
      <c r="S73" s="40">
        <f t="shared" si="103"/>
        <v>120.15475220744256</v>
      </c>
      <c r="T73" s="40">
        <f t="shared" si="103"/>
        <v>86.508245086126422</v>
      </c>
      <c r="U73" s="40">
        <f t="shared" si="103"/>
        <v>99.366540135103506</v>
      </c>
      <c r="V73" s="40">
        <f t="shared" si="103"/>
        <v>22.814065385836273</v>
      </c>
      <c r="W73" s="40">
        <f t="shared" si="103"/>
        <v>32.99921259902743</v>
      </c>
      <c r="X73" s="40">
        <f t="shared" ref="X73:AA73" si="104">SUM(X74:X78)</f>
        <v>11.639534889275012</v>
      </c>
      <c r="Y73" s="40">
        <f t="shared" si="104"/>
        <v>21.764253832390068</v>
      </c>
      <c r="Z73" s="40">
        <f t="shared" si="104"/>
        <v>22.114803434323562</v>
      </c>
      <c r="AA73" s="40">
        <f t="shared" si="104"/>
        <v>32.250725249569427</v>
      </c>
      <c r="AC73" s="40">
        <f t="shared" si="98"/>
        <v>0</v>
      </c>
      <c r="AD73" s="40">
        <f t="shared" si="98"/>
        <v>0</v>
      </c>
      <c r="AE73" s="40">
        <f t="shared" si="98"/>
        <v>0</v>
      </c>
      <c r="AF73" s="40">
        <f t="shared" si="98"/>
        <v>0</v>
      </c>
      <c r="AG73" s="40">
        <f t="shared" si="98"/>
        <v>0</v>
      </c>
      <c r="AH73" s="40">
        <f t="shared" si="98"/>
        <v>0</v>
      </c>
    </row>
    <row r="74" spans="1:34">
      <c r="A74" s="48" t="s">
        <v>106</v>
      </c>
      <c r="B74" s="49" t="s">
        <v>96</v>
      </c>
      <c r="C74" s="83"/>
      <c r="D74" s="83">
        <f t="shared" ref="D74:O77" si="105">-(D16-C16)</f>
        <v>0</v>
      </c>
      <c r="E74" s="83">
        <f t="shared" ref="E74:O75" si="106">-(E16-D16)</f>
        <v>0</v>
      </c>
      <c r="F74" s="83">
        <f>-(F16-E16)</f>
        <v>-6.1367814783036456</v>
      </c>
      <c r="G74" s="83">
        <f t="shared" si="106"/>
        <v>3.1603431221392624</v>
      </c>
      <c r="H74" s="83">
        <f t="shared" si="106"/>
        <v>-53.292977682704191</v>
      </c>
      <c r="I74" s="83">
        <f t="shared" si="106"/>
        <v>-19.495745751736841</v>
      </c>
      <c r="J74" s="83">
        <f t="shared" si="106"/>
        <v>-20.60254093830676</v>
      </c>
      <c r="K74" s="83">
        <f t="shared" si="106"/>
        <v>-24.734273185392979</v>
      </c>
      <c r="L74" s="83">
        <f t="shared" si="106"/>
        <v>-20.237473053148634</v>
      </c>
      <c r="M74" s="83">
        <f t="shared" si="106"/>
        <v>-24.558471630536957</v>
      </c>
      <c r="N74" s="83">
        <f t="shared" si="106"/>
        <v>-25.964682918099243</v>
      </c>
      <c r="O74" s="83">
        <f t="shared" si="106"/>
        <v>-30.411532806011735</v>
      </c>
      <c r="P74" s="83">
        <f t="shared" ref="P74:P77" si="107">-(P16-O16)</f>
        <v>-26.977024685918877</v>
      </c>
      <c r="Q74" s="83">
        <f t="shared" ref="Q74:Q77" si="108">-(Q16-P16)</f>
        <v>-31.806363173083952</v>
      </c>
      <c r="R74" s="83">
        <f t="shared" ref="R74:R77" si="109">-(R16-Q16)</f>
        <v>-33.753161969163841</v>
      </c>
      <c r="S74" s="83">
        <f t="shared" ref="S74:S77" si="110">-(S16-R16)</f>
        <v>-38.774632734364161</v>
      </c>
      <c r="T74" s="83">
        <f t="shared" ref="T74:T77" si="111">-(T16-S16)</f>
        <v>-28.295479552383483</v>
      </c>
      <c r="U74" s="83">
        <f t="shared" ref="U74:U77" si="112">-(U16-T16)</f>
        <v>-32.272642552449383</v>
      </c>
      <c r="V74" s="83">
        <f t="shared" ref="V74:V77" si="113">-(V16-U16)</f>
        <v>-7.3597833751688313</v>
      </c>
      <c r="W74" s="83">
        <f t="shared" ref="W74:W77" si="114">-(W16-V16)</f>
        <v>-10.467009999565278</v>
      </c>
      <c r="X74" s="83">
        <f t="shared" ref="X74:X77" si="115">-(X16-W16)</f>
        <v>-3.9333831831743851</v>
      </c>
      <c r="Y74" s="83">
        <f t="shared" ref="Y74:Y77" si="116">-(Y16-X16)</f>
        <v>-7.0211157380142026</v>
      </c>
      <c r="Z74" s="83">
        <f t="shared" ref="Z74:Z77" si="117">-(Z16-Y16)</f>
        <v>-7.1342025153531949</v>
      </c>
      <c r="AA74" s="83">
        <f t="shared" ref="AA74:AA77" si="118">-(AA16-Z16)</f>
        <v>-10.225549099988655</v>
      </c>
      <c r="AC74" s="83">
        <f t="shared" si="98"/>
        <v>0</v>
      </c>
      <c r="AD74" s="83">
        <f t="shared" si="98"/>
        <v>0</v>
      </c>
      <c r="AE74" s="83">
        <f t="shared" si="98"/>
        <v>0</v>
      </c>
      <c r="AF74" s="83">
        <f t="shared" si="98"/>
        <v>0</v>
      </c>
      <c r="AG74" s="83">
        <f t="shared" si="98"/>
        <v>0</v>
      </c>
      <c r="AH74" s="83">
        <f t="shared" si="98"/>
        <v>0</v>
      </c>
    </row>
    <row r="75" spans="1:34" outlineLevel="1">
      <c r="A75" s="48" t="s">
        <v>223</v>
      </c>
      <c r="B75" s="49" t="s">
        <v>96</v>
      </c>
      <c r="C75" s="83"/>
      <c r="D75" s="83">
        <f t="shared" si="105"/>
        <v>0</v>
      </c>
      <c r="E75" s="83">
        <f t="shared" si="106"/>
        <v>0</v>
      </c>
      <c r="F75" s="83">
        <f t="shared" si="106"/>
        <v>0</v>
      </c>
      <c r="G75" s="83">
        <f t="shared" si="106"/>
        <v>0</v>
      </c>
      <c r="H75" s="83">
        <f t="shared" si="106"/>
        <v>0</v>
      </c>
      <c r="I75" s="83">
        <f t="shared" si="106"/>
        <v>0</v>
      </c>
      <c r="J75" s="83">
        <f t="shared" si="106"/>
        <v>0</v>
      </c>
      <c r="K75" s="83">
        <f t="shared" si="106"/>
        <v>0</v>
      </c>
      <c r="L75" s="83">
        <f t="shared" si="106"/>
        <v>0</v>
      </c>
      <c r="M75" s="83">
        <f t="shared" si="106"/>
        <v>0</v>
      </c>
      <c r="N75" s="83">
        <f t="shared" si="106"/>
        <v>0</v>
      </c>
      <c r="O75" s="83">
        <f t="shared" si="106"/>
        <v>0</v>
      </c>
      <c r="P75" s="83">
        <f t="shared" si="107"/>
        <v>0</v>
      </c>
      <c r="Q75" s="83">
        <f t="shared" si="108"/>
        <v>0</v>
      </c>
      <c r="R75" s="83">
        <f t="shared" si="109"/>
        <v>0</v>
      </c>
      <c r="S75" s="83">
        <f t="shared" si="110"/>
        <v>0</v>
      </c>
      <c r="T75" s="83">
        <f t="shared" si="111"/>
        <v>0</v>
      </c>
      <c r="U75" s="83">
        <f t="shared" si="112"/>
        <v>0</v>
      </c>
      <c r="V75" s="83">
        <f t="shared" si="113"/>
        <v>0</v>
      </c>
      <c r="W75" s="83">
        <f t="shared" si="114"/>
        <v>0</v>
      </c>
      <c r="X75" s="83">
        <f t="shared" si="115"/>
        <v>0</v>
      </c>
      <c r="Y75" s="83">
        <f t="shared" si="116"/>
        <v>0</v>
      </c>
      <c r="Z75" s="83">
        <f t="shared" si="117"/>
        <v>0</v>
      </c>
      <c r="AA75" s="83">
        <f t="shared" si="118"/>
        <v>0</v>
      </c>
      <c r="AC75" s="83">
        <f t="shared" si="98"/>
        <v>0</v>
      </c>
      <c r="AD75" s="83">
        <f t="shared" si="98"/>
        <v>0</v>
      </c>
      <c r="AE75" s="83">
        <f t="shared" si="98"/>
        <v>0</v>
      </c>
      <c r="AF75" s="83">
        <f t="shared" si="98"/>
        <v>0</v>
      </c>
      <c r="AG75" s="83">
        <f t="shared" si="98"/>
        <v>0</v>
      </c>
      <c r="AH75" s="83">
        <f t="shared" si="98"/>
        <v>0</v>
      </c>
    </row>
    <row r="76" spans="1:34" outlineLevel="1">
      <c r="A76" s="48" t="s">
        <v>215</v>
      </c>
      <c r="B76" s="49" t="s">
        <v>96</v>
      </c>
      <c r="C76" s="83"/>
      <c r="D76" s="83">
        <f t="shared" si="105"/>
        <v>0</v>
      </c>
      <c r="E76" s="83">
        <f t="shared" si="105"/>
        <v>-3.1127347472732936</v>
      </c>
      <c r="F76" s="83">
        <f t="shared" si="105"/>
        <v>-2.3166928636969892</v>
      </c>
      <c r="G76" s="83">
        <f t="shared" si="105"/>
        <v>-9.1710725605956434</v>
      </c>
      <c r="H76" s="83">
        <f t="shared" si="105"/>
        <v>14.600500171565926</v>
      </c>
      <c r="I76" s="83">
        <f t="shared" si="105"/>
        <v>0</v>
      </c>
      <c r="J76" s="83">
        <f t="shared" si="105"/>
        <v>0</v>
      </c>
      <c r="K76" s="83">
        <f t="shared" si="105"/>
        <v>0</v>
      </c>
      <c r="L76" s="83">
        <f t="shared" si="105"/>
        <v>0</v>
      </c>
      <c r="M76" s="83">
        <f t="shared" si="105"/>
        <v>0</v>
      </c>
      <c r="N76" s="83">
        <f t="shared" si="105"/>
        <v>0</v>
      </c>
      <c r="O76" s="83">
        <f t="shared" si="105"/>
        <v>0</v>
      </c>
      <c r="P76" s="83">
        <f t="shared" si="107"/>
        <v>0</v>
      </c>
      <c r="Q76" s="83">
        <f t="shared" si="108"/>
        <v>0</v>
      </c>
      <c r="R76" s="83">
        <f t="shared" si="109"/>
        <v>0</v>
      </c>
      <c r="S76" s="83">
        <f t="shared" si="110"/>
        <v>0</v>
      </c>
      <c r="T76" s="83">
        <f t="shared" si="111"/>
        <v>0</v>
      </c>
      <c r="U76" s="83">
        <f t="shared" si="112"/>
        <v>0</v>
      </c>
      <c r="V76" s="83">
        <f t="shared" si="113"/>
        <v>0</v>
      </c>
      <c r="W76" s="83">
        <f t="shared" si="114"/>
        <v>0</v>
      </c>
      <c r="X76" s="83">
        <f t="shared" si="115"/>
        <v>0</v>
      </c>
      <c r="Y76" s="83">
        <f t="shared" si="116"/>
        <v>0</v>
      </c>
      <c r="Z76" s="83">
        <f t="shared" si="117"/>
        <v>0</v>
      </c>
      <c r="AA76" s="83">
        <f t="shared" si="118"/>
        <v>0</v>
      </c>
      <c r="AC76" s="83">
        <f t="shared" si="98"/>
        <v>0</v>
      </c>
      <c r="AD76" s="83">
        <f t="shared" si="98"/>
        <v>0</v>
      </c>
      <c r="AE76" s="83">
        <f t="shared" si="98"/>
        <v>0</v>
      </c>
      <c r="AF76" s="83">
        <f t="shared" si="98"/>
        <v>0</v>
      </c>
      <c r="AG76" s="83">
        <f t="shared" si="98"/>
        <v>0</v>
      </c>
      <c r="AH76" s="83">
        <f t="shared" si="98"/>
        <v>0</v>
      </c>
    </row>
    <row r="77" spans="1:34">
      <c r="A77" s="48" t="s">
        <v>109</v>
      </c>
      <c r="B77" s="49" t="s">
        <v>96</v>
      </c>
      <c r="C77" s="83"/>
      <c r="D77" s="83">
        <f t="shared" si="105"/>
        <v>0</v>
      </c>
      <c r="E77" s="83">
        <f t="shared" si="105"/>
        <v>0</v>
      </c>
      <c r="F77" s="83">
        <f t="shared" si="105"/>
        <v>-0.95291637861857859</v>
      </c>
      <c r="G77" s="83">
        <f t="shared" si="105"/>
        <v>0.95291637861857859</v>
      </c>
      <c r="H77" s="83">
        <f t="shared" si="105"/>
        <v>-17.10316596926096</v>
      </c>
      <c r="I77" s="83">
        <f t="shared" si="105"/>
        <v>-5.9257585871540641</v>
      </c>
      <c r="J77" s="83">
        <f t="shared" si="105"/>
        <v>-6.2621704979655739</v>
      </c>
      <c r="K77" s="83">
        <f t="shared" si="105"/>
        <v>-6.6133236563004871</v>
      </c>
      <c r="L77" s="83">
        <f t="shared" si="105"/>
        <v>-7.0559001244112522</v>
      </c>
      <c r="M77" s="83">
        <f t="shared" si="105"/>
        <v>-7.4645810427163894</v>
      </c>
      <c r="N77" s="83">
        <f t="shared" si="105"/>
        <v>-7.8920008869602469</v>
      </c>
      <c r="O77" s="83">
        <f t="shared" si="105"/>
        <v>-8.3389344832362724</v>
      </c>
      <c r="P77" s="83">
        <f t="shared" si="107"/>
        <v>-9.1043960614235004</v>
      </c>
      <c r="Q77" s="83">
        <f t="shared" si="108"/>
        <v>-9.66758759060302</v>
      </c>
      <c r="R77" s="83">
        <f t="shared" si="109"/>
        <v>-10.259319747466193</v>
      </c>
      <c r="S77" s="83">
        <f t="shared" si="110"/>
        <v>-10.880910145349475</v>
      </c>
      <c r="T77" s="83">
        <f t="shared" si="111"/>
        <v>-9.5051422214431085</v>
      </c>
      <c r="U77" s="83">
        <f t="shared" si="112"/>
        <v>-9.8093138457293065</v>
      </c>
      <c r="V77" s="83">
        <f t="shared" si="113"/>
        <v>-2.2370162234555551</v>
      </c>
      <c r="W77" s="83">
        <f t="shared" si="114"/>
        <v>-2.2767694964744578</v>
      </c>
      <c r="X77" s="83">
        <f t="shared" si="115"/>
        <v>-2.1002497080056628</v>
      </c>
      <c r="Y77" s="83">
        <f t="shared" si="116"/>
        <v>-2.1340777319192625</v>
      </c>
      <c r="Z77" s="83">
        <f t="shared" si="117"/>
        <v>-2.1684506125693588</v>
      </c>
      <c r="AA77" s="83">
        <f t="shared" si="118"/>
        <v>-2.2033771257824242</v>
      </c>
      <c r="AC77" s="83">
        <f t="shared" si="98"/>
        <v>0</v>
      </c>
      <c r="AD77" s="83">
        <f t="shared" si="98"/>
        <v>0</v>
      </c>
      <c r="AE77" s="83">
        <f t="shared" si="98"/>
        <v>0</v>
      </c>
      <c r="AF77" s="83">
        <f t="shared" si="98"/>
        <v>0</v>
      </c>
      <c r="AG77" s="83">
        <f t="shared" si="98"/>
        <v>0</v>
      </c>
      <c r="AH77" s="83">
        <f t="shared" si="98"/>
        <v>0</v>
      </c>
    </row>
    <row r="78" spans="1:34" outlineLevel="1">
      <c r="A78" s="48" t="s">
        <v>110</v>
      </c>
      <c r="B78" s="49" t="s">
        <v>96</v>
      </c>
      <c r="C78" s="83"/>
      <c r="D78" s="83">
        <f>D35-C35</f>
        <v>0</v>
      </c>
      <c r="E78" s="83">
        <f t="shared" ref="E78:O78" si="119">E35-D35</f>
        <v>758.05859670635243</v>
      </c>
      <c r="F78" s="83">
        <f t="shared" si="119"/>
        <v>26.842742024691574</v>
      </c>
      <c r="G78" s="83">
        <f t="shared" si="119"/>
        <v>-13.564193392752145</v>
      </c>
      <c r="H78" s="83">
        <f t="shared" si="119"/>
        <v>233.74723341080426</v>
      </c>
      <c r="I78" s="83">
        <f t="shared" si="119"/>
        <v>85.555190503412746</v>
      </c>
      <c r="J78" s="83">
        <f t="shared" si="119"/>
        <v>90.406172570094441</v>
      </c>
      <c r="K78" s="83">
        <f t="shared" si="119"/>
        <v>108.22579020432113</v>
      </c>
      <c r="L78" s="83">
        <f t="shared" si="119"/>
        <v>89.108698462486018</v>
      </c>
      <c r="M78" s="83">
        <f t="shared" si="119"/>
        <v>107.75805024565648</v>
      </c>
      <c r="N78" s="83">
        <f t="shared" si="119"/>
        <v>113.92133576913466</v>
      </c>
      <c r="O78" s="83">
        <f t="shared" si="119"/>
        <v>133.12204940522201</v>
      </c>
      <c r="P78" s="83">
        <f t="shared" ref="P78:AA78" si="120">P35-O35</f>
        <v>118.67944013209899</v>
      </c>
      <c r="Q78" s="83">
        <f t="shared" si="120"/>
        <v>139.55737852839252</v>
      </c>
      <c r="R78" s="83">
        <f t="shared" si="120"/>
        <v>148.09055773373348</v>
      </c>
      <c r="S78" s="83">
        <f t="shared" si="120"/>
        <v>169.81029508715619</v>
      </c>
      <c r="T78" s="83">
        <f t="shared" si="120"/>
        <v>124.30886685995301</v>
      </c>
      <c r="U78" s="83">
        <f t="shared" si="120"/>
        <v>141.4484965332822</v>
      </c>
      <c r="V78" s="83">
        <f t="shared" si="120"/>
        <v>32.410864984460659</v>
      </c>
      <c r="W78" s="83">
        <f t="shared" si="120"/>
        <v>45.742992095067166</v>
      </c>
      <c r="X78" s="83">
        <f t="shared" si="120"/>
        <v>17.67316778045506</v>
      </c>
      <c r="Y78" s="83">
        <f t="shared" si="120"/>
        <v>30.919447302323533</v>
      </c>
      <c r="Z78" s="83">
        <f t="shared" si="120"/>
        <v>31.417456562246116</v>
      </c>
      <c r="AA78" s="83">
        <f t="shared" si="120"/>
        <v>44.679651475340506</v>
      </c>
      <c r="AC78" s="83">
        <f t="shared" si="98"/>
        <v>0</v>
      </c>
      <c r="AD78" s="83">
        <f t="shared" si="98"/>
        <v>0</v>
      </c>
      <c r="AE78" s="83">
        <f t="shared" si="98"/>
        <v>0</v>
      </c>
      <c r="AF78" s="83">
        <f t="shared" si="98"/>
        <v>0</v>
      </c>
      <c r="AG78" s="83">
        <f t="shared" si="98"/>
        <v>0</v>
      </c>
      <c r="AH78" s="83">
        <f t="shared" si="98"/>
        <v>0</v>
      </c>
    </row>
    <row r="79" spans="1:34" outlineLevel="1">
      <c r="A79" s="39" t="s">
        <v>235</v>
      </c>
      <c r="B79" s="39" t="s">
        <v>96</v>
      </c>
      <c r="D79" s="40">
        <f>-(D12-C12)</f>
        <v>0</v>
      </c>
      <c r="E79" s="40">
        <f t="shared" ref="E79:O79" si="121">-(E12-D12)</f>
        <v>-288.22019562272777</v>
      </c>
      <c r="F79" s="40">
        <f t="shared" si="121"/>
        <v>-287.55682738641411</v>
      </c>
      <c r="G79" s="40">
        <f t="shared" si="121"/>
        <v>-293.26881046716312</v>
      </c>
      <c r="H79" s="40">
        <f t="shared" si="121"/>
        <v>-187.05846966667968</v>
      </c>
      <c r="I79" s="40">
        <f t="shared" si="121"/>
        <v>-151.99658217127217</v>
      </c>
      <c r="J79" s="40">
        <f>-(J12-I12)</f>
        <v>-114.94188012477366</v>
      </c>
      <c r="K79" s="40">
        <f t="shared" si="121"/>
        <v>-80.65700448736402</v>
      </c>
      <c r="L79" s="40">
        <f t="shared" si="121"/>
        <v>-34.055513421222713</v>
      </c>
      <c r="M79" s="40">
        <f t="shared" si="121"/>
        <v>10.116855410110702</v>
      </c>
      <c r="N79" s="40">
        <f t="shared" si="121"/>
        <v>56.821149323111058</v>
      </c>
      <c r="O79" s="40">
        <f t="shared" si="121"/>
        <v>101.32300823824767</v>
      </c>
      <c r="P79" s="40">
        <f t="shared" ref="P79:AA79" si="122">-(P12-O12)</f>
        <v>160.04711368030098</v>
      </c>
      <c r="Q79" s="40">
        <f t="shared" si="122"/>
        <v>217.25715634096753</v>
      </c>
      <c r="R79" s="40">
        <f t="shared" si="122"/>
        <v>277.97225807215727</v>
      </c>
      <c r="S79" s="40">
        <f t="shared" si="122"/>
        <v>337.51935013962037</v>
      </c>
      <c r="T79" s="40">
        <f t="shared" si="122"/>
        <v>276.69839214310167</v>
      </c>
      <c r="U79" s="40">
        <f t="shared" si="122"/>
        <v>0</v>
      </c>
      <c r="V79" s="40">
        <f t="shared" si="122"/>
        <v>0</v>
      </c>
      <c r="W79" s="40">
        <f t="shared" si="122"/>
        <v>0</v>
      </c>
      <c r="X79" s="40">
        <f t="shared" si="122"/>
        <v>0</v>
      </c>
      <c r="Y79" s="40">
        <f t="shared" si="122"/>
        <v>0</v>
      </c>
      <c r="Z79" s="40">
        <f t="shared" si="122"/>
        <v>0</v>
      </c>
      <c r="AA79" s="40">
        <f t="shared" si="122"/>
        <v>0</v>
      </c>
      <c r="AC79" s="40">
        <f t="shared" si="98"/>
        <v>0</v>
      </c>
      <c r="AD79" s="40">
        <f t="shared" si="98"/>
        <v>0</v>
      </c>
      <c r="AE79" s="40">
        <f t="shared" si="98"/>
        <v>0</v>
      </c>
      <c r="AF79" s="40">
        <f t="shared" si="98"/>
        <v>0</v>
      </c>
      <c r="AG79" s="40">
        <f t="shared" si="98"/>
        <v>0</v>
      </c>
      <c r="AH79" s="40">
        <f t="shared" si="98"/>
        <v>0</v>
      </c>
    </row>
    <row r="80" spans="1:34" outlineLevel="1">
      <c r="A80" s="73" t="s">
        <v>273</v>
      </c>
      <c r="B80" s="73" t="s">
        <v>96</v>
      </c>
      <c r="C80" s="74"/>
      <c r="D80" s="74">
        <f>SUM(D71:D73,D79)</f>
        <v>0</v>
      </c>
      <c r="E80" s="74">
        <f t="shared" ref="E80:O80" si="123">SUM(E71:E73,E79)</f>
        <v>-397.93492053183201</v>
      </c>
      <c r="F80" s="74">
        <f t="shared" si="123"/>
        <v>-1132.7909582415843</v>
      </c>
      <c r="G80" s="74">
        <f t="shared" si="123"/>
        <v>-1191.6972483212421</v>
      </c>
      <c r="H80" s="74">
        <f t="shared" si="123"/>
        <v>-570.28228873631406</v>
      </c>
      <c r="I80" s="74">
        <f t="shared" si="123"/>
        <v>-547.85264252056663</v>
      </c>
      <c r="J80" s="74">
        <f t="shared" si="123"/>
        <v>-396.22605936527231</v>
      </c>
      <c r="K80" s="74">
        <f t="shared" si="123"/>
        <v>-245.74982458682859</v>
      </c>
      <c r="L80" s="74">
        <f t="shared" si="123"/>
        <v>-74.406728399964521</v>
      </c>
      <c r="M80" s="74">
        <f t="shared" si="123"/>
        <v>116.20241921284565</v>
      </c>
      <c r="N80" s="74">
        <f t="shared" si="123"/>
        <v>307.34924925651961</v>
      </c>
      <c r="O80" s="74">
        <f t="shared" si="123"/>
        <v>499.66361506896487</v>
      </c>
      <c r="P80" s="74">
        <f t="shared" ref="P80:W80" si="124">SUM(P71:P73,P79)</f>
        <v>722.78647410596068</v>
      </c>
      <c r="Q80" s="74">
        <f t="shared" si="124"/>
        <v>967.11205312857567</v>
      </c>
      <c r="R80" s="74">
        <f t="shared" si="124"/>
        <v>1215.9671083057324</v>
      </c>
      <c r="S80" s="74">
        <f t="shared" si="124"/>
        <v>1470.232152765924</v>
      </c>
      <c r="T80" s="74">
        <f t="shared" si="124"/>
        <v>1559.2289717759622</v>
      </c>
      <c r="U80" s="74">
        <f t="shared" si="124"/>
        <v>1469.7116414821121</v>
      </c>
      <c r="V80" s="74">
        <f t="shared" si="124"/>
        <v>1432.7384227563141</v>
      </c>
      <c r="W80" s="74">
        <f t="shared" si="124"/>
        <v>1468.6561758185551</v>
      </c>
      <c r="X80" s="74">
        <f t="shared" ref="X80:AA80" si="125">SUM(X71:X73,X79)</f>
        <v>1499.0059608050394</v>
      </c>
      <c r="Y80" s="74">
        <f t="shared" si="125"/>
        <v>1546.8886575580541</v>
      </c>
      <c r="Z80" s="74">
        <f t="shared" si="125"/>
        <v>1585.6053401675326</v>
      </c>
      <c r="AA80" s="74">
        <f t="shared" si="125"/>
        <v>1620.175345541586</v>
      </c>
      <c r="AC80" s="74">
        <f t="shared" ref="AC80:AH80" si="126">SUM(AC71:AC73,AC79)</f>
        <v>0</v>
      </c>
      <c r="AD80" s="74">
        <f t="shared" si="126"/>
        <v>0</v>
      </c>
      <c r="AE80" s="74">
        <f t="shared" si="126"/>
        <v>0</v>
      </c>
      <c r="AF80" s="74">
        <f t="shared" si="126"/>
        <v>0</v>
      </c>
      <c r="AG80" s="74">
        <f t="shared" si="126"/>
        <v>0</v>
      </c>
      <c r="AH80" s="74">
        <f t="shared" si="126"/>
        <v>0</v>
      </c>
    </row>
    <row r="81" spans="1:34" outlineLevel="1">
      <c r="P81" s="40"/>
    </row>
    <row r="82" spans="1:34">
      <c r="A82" s="38" t="s">
        <v>274</v>
      </c>
      <c r="B82" s="39" t="s">
        <v>96</v>
      </c>
      <c r="P82" s="40"/>
    </row>
    <row r="83" spans="1:34">
      <c r="A83" s="39" t="s">
        <v>12</v>
      </c>
      <c r="B83" s="39" t="s">
        <v>96</v>
      </c>
      <c r="D83" s="40">
        <f>-Инвестиции!D32</f>
        <v>0</v>
      </c>
      <c r="E83" s="40">
        <f>-Инвестиции!E32</f>
        <v>0</v>
      </c>
      <c r="F83" s="40">
        <f>-Инвестиции!F32</f>
        <v>0</v>
      </c>
      <c r="G83" s="40">
        <f>-Инвестиции!G32</f>
        <v>0</v>
      </c>
      <c r="H83" s="40">
        <f>-Инвестиции!H32</f>
        <v>0</v>
      </c>
      <c r="I83" s="40">
        <f>-Инвестиции!I32</f>
        <v>0</v>
      </c>
      <c r="J83" s="40">
        <f>-Инвестиции!J32</f>
        <v>0</v>
      </c>
      <c r="K83" s="40">
        <f>-Инвестиции!K32</f>
        <v>0</v>
      </c>
      <c r="L83" s="40">
        <f>-Инвестиции!L32</f>
        <v>0</v>
      </c>
      <c r="M83" s="40">
        <f>-Инвестиции!M32</f>
        <v>0</v>
      </c>
      <c r="N83" s="40">
        <f>-Инвестиции!N32</f>
        <v>0</v>
      </c>
      <c r="O83" s="40">
        <f>-Инвестиции!O32</f>
        <v>0</v>
      </c>
      <c r="P83" s="40">
        <f>-Инвестиции!P32</f>
        <v>0</v>
      </c>
      <c r="Q83" s="40">
        <f>-Инвестиции!Q32</f>
        <v>0</v>
      </c>
      <c r="R83" s="40">
        <f>-Инвестиции!R32</f>
        <v>0</v>
      </c>
      <c r="S83" s="40">
        <f>-Инвестиции!S32</f>
        <v>0</v>
      </c>
      <c r="T83" s="40">
        <f>-Инвестиции!T32</f>
        <v>0</v>
      </c>
      <c r="U83" s="40">
        <f>-Инвестиции!U32</f>
        <v>0</v>
      </c>
      <c r="V83" s="40">
        <f>-Инвестиции!V32</f>
        <v>0</v>
      </c>
      <c r="W83" s="40">
        <f>-Инвестиции!W32</f>
        <v>0</v>
      </c>
      <c r="X83" s="40">
        <f>-Инвестиции!X32</f>
        <v>0</v>
      </c>
      <c r="Y83" s="40">
        <f>-Инвестиции!Y32</f>
        <v>0</v>
      </c>
      <c r="Z83" s="40">
        <f>-Инвестиции!Z32</f>
        <v>0</v>
      </c>
      <c r="AA83" s="40">
        <f>-Инвестиции!AA32</f>
        <v>0</v>
      </c>
      <c r="AC83" s="40">
        <f t="shared" ref="AC83:AH83" si="127">SUMIF($D$4:$AA$4,AC$5,$D83:$AA83)</f>
        <v>0</v>
      </c>
      <c r="AD83" s="40">
        <f t="shared" si="127"/>
        <v>0</v>
      </c>
      <c r="AE83" s="40">
        <f t="shared" si="127"/>
        <v>0</v>
      </c>
      <c r="AF83" s="40">
        <f t="shared" si="127"/>
        <v>0</v>
      </c>
      <c r="AG83" s="40">
        <f t="shared" si="127"/>
        <v>0</v>
      </c>
      <c r="AH83" s="40">
        <f t="shared" si="127"/>
        <v>0</v>
      </c>
    </row>
    <row r="84" spans="1:34" outlineLevel="1">
      <c r="A84" s="73" t="s">
        <v>275</v>
      </c>
      <c r="B84" s="73" t="s">
        <v>96</v>
      </c>
      <c r="C84" s="74"/>
      <c r="D84" s="74">
        <f>D83</f>
        <v>0</v>
      </c>
      <c r="E84" s="74">
        <f t="shared" ref="E84:N84" si="128">E83</f>
        <v>0</v>
      </c>
      <c r="F84" s="74">
        <f t="shared" si="128"/>
        <v>0</v>
      </c>
      <c r="G84" s="74">
        <f t="shared" si="128"/>
        <v>0</v>
      </c>
      <c r="H84" s="74">
        <f t="shared" si="128"/>
        <v>0</v>
      </c>
      <c r="I84" s="74">
        <f t="shared" si="128"/>
        <v>0</v>
      </c>
      <c r="J84" s="74">
        <f t="shared" si="128"/>
        <v>0</v>
      </c>
      <c r="K84" s="74">
        <f t="shared" si="128"/>
        <v>0</v>
      </c>
      <c r="L84" s="74">
        <f t="shared" si="128"/>
        <v>0</v>
      </c>
      <c r="M84" s="74">
        <f t="shared" si="128"/>
        <v>0</v>
      </c>
      <c r="N84" s="74">
        <f t="shared" si="128"/>
        <v>0</v>
      </c>
      <c r="O84" s="74">
        <f t="shared" ref="O84:W84" si="129">O83</f>
        <v>0</v>
      </c>
      <c r="P84" s="74">
        <f t="shared" si="129"/>
        <v>0</v>
      </c>
      <c r="Q84" s="74">
        <f t="shared" si="129"/>
        <v>0</v>
      </c>
      <c r="R84" s="74">
        <f t="shared" si="129"/>
        <v>0</v>
      </c>
      <c r="S84" s="74">
        <f t="shared" si="129"/>
        <v>0</v>
      </c>
      <c r="T84" s="74">
        <f t="shared" si="129"/>
        <v>0</v>
      </c>
      <c r="U84" s="74">
        <f t="shared" si="129"/>
        <v>0</v>
      </c>
      <c r="V84" s="74">
        <f t="shared" si="129"/>
        <v>0</v>
      </c>
      <c r="W84" s="74">
        <f t="shared" si="129"/>
        <v>0</v>
      </c>
      <c r="X84" s="74">
        <f t="shared" ref="X84:AA84" si="130">X83</f>
        <v>0</v>
      </c>
      <c r="Y84" s="74">
        <f t="shared" si="130"/>
        <v>0</v>
      </c>
      <c r="Z84" s="74">
        <f t="shared" si="130"/>
        <v>0</v>
      </c>
      <c r="AA84" s="74">
        <f t="shared" si="130"/>
        <v>0</v>
      </c>
      <c r="AC84" s="74">
        <f t="shared" ref="AC84:AH84" si="131">AC83</f>
        <v>0</v>
      </c>
      <c r="AD84" s="74">
        <f t="shared" si="131"/>
        <v>0</v>
      </c>
      <c r="AE84" s="74">
        <f t="shared" si="131"/>
        <v>0</v>
      </c>
      <c r="AF84" s="74">
        <f t="shared" si="131"/>
        <v>0</v>
      </c>
      <c r="AG84" s="74">
        <f t="shared" si="131"/>
        <v>0</v>
      </c>
      <c r="AH84" s="74">
        <f t="shared" si="131"/>
        <v>0</v>
      </c>
    </row>
    <row r="85" spans="1:34" outlineLevel="1">
      <c r="P85" s="40"/>
    </row>
    <row r="86" spans="1:34">
      <c r="A86" s="38" t="s">
        <v>276</v>
      </c>
      <c r="B86" s="39" t="s">
        <v>96</v>
      </c>
      <c r="P86" s="40"/>
    </row>
    <row r="87" spans="1:34">
      <c r="A87" s="39" t="s">
        <v>277</v>
      </c>
      <c r="B87" s="39" t="s">
        <v>96</v>
      </c>
      <c r="P87" s="40"/>
      <c r="AC87" s="40">
        <f t="shared" ref="AC87:AH89" si="132">SUMIF($D$4:$AA$4,AC$5,$D87:$AA87)</f>
        <v>0</v>
      </c>
      <c r="AD87" s="40">
        <f t="shared" si="132"/>
        <v>0</v>
      </c>
      <c r="AE87" s="40">
        <f t="shared" si="132"/>
        <v>0</v>
      </c>
      <c r="AF87" s="40">
        <f t="shared" si="132"/>
        <v>0</v>
      </c>
      <c r="AG87" s="40">
        <f t="shared" si="132"/>
        <v>0</v>
      </c>
      <c r="AH87" s="40">
        <f t="shared" si="132"/>
        <v>0</v>
      </c>
    </row>
    <row r="88" spans="1:34">
      <c r="A88" s="39" t="s">
        <v>278</v>
      </c>
      <c r="B88" s="39" t="s">
        <v>96</v>
      </c>
      <c r="D88" s="40">
        <f>Инвестиции!D95-Инвестиции!C95</f>
        <v>0</v>
      </c>
      <c r="E88" s="40">
        <f>Инвестиции!E95-Инвестиции!D95</f>
        <v>1155.9935172381843</v>
      </c>
      <c r="F88" s="40">
        <f>Инвестиции!F95-Инвестиции!E95</f>
        <v>1209.0638551161683</v>
      </c>
      <c r="G88" s="40">
        <f>Инвестиции!G95-Инвестиции!F95</f>
        <v>1157.026314429248</v>
      </c>
      <c r="H88" s="40">
        <f>Инвестиции!H95-Инвестиции!G95</f>
        <v>0</v>
      </c>
      <c r="I88" s="40">
        <f>Инвестиции!I95-Инвестиции!H95</f>
        <v>0</v>
      </c>
      <c r="P88" s="40"/>
      <c r="AC88" s="40">
        <f t="shared" si="132"/>
        <v>0</v>
      </c>
      <c r="AD88" s="40">
        <f t="shared" si="132"/>
        <v>0</v>
      </c>
      <c r="AE88" s="40">
        <f t="shared" si="132"/>
        <v>0</v>
      </c>
      <c r="AF88" s="40">
        <f t="shared" si="132"/>
        <v>0</v>
      </c>
      <c r="AG88" s="40">
        <f t="shared" si="132"/>
        <v>0</v>
      </c>
      <c r="AH88" s="40">
        <f t="shared" si="132"/>
        <v>0</v>
      </c>
    </row>
    <row r="89" spans="1:34">
      <c r="A89" s="39" t="s">
        <v>279</v>
      </c>
      <c r="B89" s="39" t="s">
        <v>96</v>
      </c>
      <c r="D89" s="80">
        <f>Инвестиции!D94-Инвестиции!C94</f>
        <v>0</v>
      </c>
      <c r="E89" s="80">
        <f>Инвестиции!E94-Инвестиции!D94</f>
        <v>0</v>
      </c>
      <c r="F89" s="80">
        <f>Инвестиции!F94-Инвестиции!E94</f>
        <v>0</v>
      </c>
      <c r="G89" s="80">
        <f>Инвестиции!G94-Инвестиции!F94</f>
        <v>0</v>
      </c>
      <c r="H89" s="80">
        <f>Инвестиции!H94-Инвестиции!G94</f>
        <v>0</v>
      </c>
      <c r="I89" s="40">
        <f>Инвестиции!I94-Инвестиции!H94</f>
        <v>0</v>
      </c>
      <c r="J89" s="40">
        <f>Инвестиции!J94-Инвестиции!I94</f>
        <v>0</v>
      </c>
      <c r="K89" s="40">
        <f>Инвестиции!K94-Инвестиции!J94</f>
        <v>0</v>
      </c>
      <c r="L89" s="40">
        <f>Инвестиции!L94-Инвестиции!K94</f>
        <v>0</v>
      </c>
      <c r="M89" s="40">
        <f>Инвестиции!M94-Инвестиции!L94</f>
        <v>0</v>
      </c>
      <c r="N89" s="40">
        <f>Инвестиции!N94-Инвестиции!M94</f>
        <v>0</v>
      </c>
      <c r="O89" s="40">
        <f>Инвестиции!O94-Инвестиции!N94</f>
        <v>0</v>
      </c>
      <c r="P89" s="40">
        <f>Инвестиции!P94-Инвестиции!O94</f>
        <v>0</v>
      </c>
      <c r="Q89" s="40">
        <f>Инвестиции!Q94-Инвестиции!P94</f>
        <v>0</v>
      </c>
      <c r="R89" s="40">
        <f>Инвестиции!R94-Инвестиции!Q94</f>
        <v>0</v>
      </c>
      <c r="S89" s="40">
        <f>Инвестиции!S94-Инвестиции!R94</f>
        <v>0</v>
      </c>
      <c r="T89" s="40">
        <f>Инвестиции!T94-Инвестиции!S94</f>
        <v>0</v>
      </c>
      <c r="U89" s="40">
        <f>Инвестиции!U94-Инвестиции!T94</f>
        <v>0</v>
      </c>
      <c r="V89" s="40">
        <f>Инвестиции!V94-Инвестиции!U94</f>
        <v>0</v>
      </c>
      <c r="W89" s="40">
        <f>Инвестиции!W94-Инвестиции!V94</f>
        <v>0</v>
      </c>
      <c r="X89" s="40">
        <f>Инвестиции!X94-Инвестиции!W94</f>
        <v>0</v>
      </c>
      <c r="Y89" s="40">
        <f>Инвестиции!Y94-Инвестиции!X94</f>
        <v>0</v>
      </c>
      <c r="Z89" s="40">
        <f>Инвестиции!Z94-Инвестиции!Y94</f>
        <v>0</v>
      </c>
      <c r="AA89" s="40">
        <f>Инвестиции!AA94-Инвестиции!Z94</f>
        <v>0</v>
      </c>
      <c r="AC89" s="40">
        <f t="shared" si="132"/>
        <v>0</v>
      </c>
      <c r="AD89" s="40">
        <f t="shared" si="132"/>
        <v>0</v>
      </c>
      <c r="AE89" s="40">
        <f t="shared" si="132"/>
        <v>0</v>
      </c>
      <c r="AF89" s="40">
        <f t="shared" si="132"/>
        <v>0</v>
      </c>
      <c r="AG89" s="40">
        <f t="shared" si="132"/>
        <v>0</v>
      </c>
      <c r="AH89" s="40">
        <f t="shared" si="132"/>
        <v>0</v>
      </c>
    </row>
    <row r="90" spans="1:34" outlineLevel="1">
      <c r="A90" s="73" t="s">
        <v>280</v>
      </c>
      <c r="B90" s="73" t="s">
        <v>96</v>
      </c>
      <c r="C90" s="74"/>
      <c r="D90" s="74">
        <f>SUM(D87:D89)</f>
        <v>0</v>
      </c>
      <c r="E90" s="74">
        <f t="shared" ref="E90:O90" si="133">SUM(E87:E89)</f>
        <v>1155.9935172381843</v>
      </c>
      <c r="F90" s="74">
        <f t="shared" si="133"/>
        <v>1209.0638551161683</v>
      </c>
      <c r="G90" s="74">
        <f t="shared" si="133"/>
        <v>1157.026314429248</v>
      </c>
      <c r="H90" s="74">
        <f t="shared" si="133"/>
        <v>0</v>
      </c>
      <c r="I90" s="74">
        <f t="shared" si="133"/>
        <v>0</v>
      </c>
      <c r="J90" s="74">
        <f t="shared" si="133"/>
        <v>0</v>
      </c>
      <c r="K90" s="74">
        <f t="shared" si="133"/>
        <v>0</v>
      </c>
      <c r="L90" s="74">
        <f t="shared" si="133"/>
        <v>0</v>
      </c>
      <c r="M90" s="74">
        <f t="shared" si="133"/>
        <v>0</v>
      </c>
      <c r="N90" s="74">
        <f t="shared" si="133"/>
        <v>0</v>
      </c>
      <c r="O90" s="74">
        <f t="shared" si="133"/>
        <v>0</v>
      </c>
      <c r="P90" s="74">
        <f t="shared" ref="P90:W90" si="134">SUM(P87:P89)</f>
        <v>0</v>
      </c>
      <c r="Q90" s="74">
        <f t="shared" si="134"/>
        <v>0</v>
      </c>
      <c r="R90" s="74">
        <f t="shared" si="134"/>
        <v>0</v>
      </c>
      <c r="S90" s="74">
        <f t="shared" si="134"/>
        <v>0</v>
      </c>
      <c r="T90" s="74">
        <f t="shared" si="134"/>
        <v>0</v>
      </c>
      <c r="U90" s="74">
        <f t="shared" si="134"/>
        <v>0</v>
      </c>
      <c r="V90" s="74">
        <f t="shared" si="134"/>
        <v>0</v>
      </c>
      <c r="W90" s="74">
        <f t="shared" si="134"/>
        <v>0</v>
      </c>
      <c r="X90" s="74">
        <f t="shared" ref="X90:AA90" si="135">SUM(X87:X89)</f>
        <v>0</v>
      </c>
      <c r="Y90" s="74">
        <f t="shared" si="135"/>
        <v>0</v>
      </c>
      <c r="Z90" s="74">
        <f t="shared" si="135"/>
        <v>0</v>
      </c>
      <c r="AA90" s="74">
        <f t="shared" si="135"/>
        <v>0</v>
      </c>
      <c r="AC90" s="74">
        <f t="shared" ref="AC90:AH90" si="136">SUM(AC87:AC89)</f>
        <v>0</v>
      </c>
      <c r="AD90" s="74">
        <f t="shared" si="136"/>
        <v>0</v>
      </c>
      <c r="AE90" s="74">
        <f t="shared" si="136"/>
        <v>0</v>
      </c>
      <c r="AF90" s="74">
        <f t="shared" si="136"/>
        <v>0</v>
      </c>
      <c r="AG90" s="74">
        <f t="shared" si="136"/>
        <v>0</v>
      </c>
      <c r="AH90" s="74">
        <f t="shared" si="136"/>
        <v>0</v>
      </c>
    </row>
    <row r="91" spans="1:34" outlineLevel="1">
      <c r="A91" s="73" t="s">
        <v>281</v>
      </c>
      <c r="B91" s="73" t="s">
        <v>96</v>
      </c>
      <c r="C91" s="74"/>
      <c r="D91" s="74">
        <f t="shared" ref="D91:W91" si="137">D90+D84+D80</f>
        <v>0</v>
      </c>
      <c r="E91" s="74">
        <f t="shared" si="137"/>
        <v>758.05859670635232</v>
      </c>
      <c r="F91" s="74">
        <f t="shared" si="137"/>
        <v>76.272896874583921</v>
      </c>
      <c r="G91" s="74">
        <f t="shared" si="137"/>
        <v>-34.670933891994082</v>
      </c>
      <c r="H91" s="74">
        <f t="shared" si="137"/>
        <v>-570.28228873631406</v>
      </c>
      <c r="I91" s="74">
        <f t="shared" si="137"/>
        <v>-547.85264252056663</v>
      </c>
      <c r="J91" s="74">
        <f t="shared" si="137"/>
        <v>-396.22605936527231</v>
      </c>
      <c r="K91" s="74">
        <f t="shared" si="137"/>
        <v>-245.74982458682859</v>
      </c>
      <c r="L91" s="74">
        <f t="shared" si="137"/>
        <v>-74.406728399964521</v>
      </c>
      <c r="M91" s="74">
        <f t="shared" si="137"/>
        <v>116.20241921284565</v>
      </c>
      <c r="N91" s="74">
        <f t="shared" si="137"/>
        <v>307.34924925651961</v>
      </c>
      <c r="O91" s="74">
        <f t="shared" si="137"/>
        <v>499.66361506896487</v>
      </c>
      <c r="P91" s="74">
        <f t="shared" si="137"/>
        <v>722.78647410596068</v>
      </c>
      <c r="Q91" s="74">
        <f t="shared" si="137"/>
        <v>967.11205312857567</v>
      </c>
      <c r="R91" s="74">
        <f t="shared" si="137"/>
        <v>1215.9671083057324</v>
      </c>
      <c r="S91" s="74">
        <f t="shared" si="137"/>
        <v>1470.232152765924</v>
      </c>
      <c r="T91" s="74">
        <f t="shared" si="137"/>
        <v>1559.2289717759622</v>
      </c>
      <c r="U91" s="74">
        <f t="shared" si="137"/>
        <v>1469.7116414821121</v>
      </c>
      <c r="V91" s="74">
        <f t="shared" si="137"/>
        <v>1432.7384227563141</v>
      </c>
      <c r="W91" s="74">
        <f t="shared" si="137"/>
        <v>1468.6561758185551</v>
      </c>
      <c r="X91" s="74">
        <f t="shared" ref="X91:AA91" si="138">X90+X84+X80</f>
        <v>1499.0059608050394</v>
      </c>
      <c r="Y91" s="74">
        <f t="shared" si="138"/>
        <v>1546.8886575580541</v>
      </c>
      <c r="Z91" s="74">
        <f t="shared" si="138"/>
        <v>1585.6053401675326</v>
      </c>
      <c r="AA91" s="74">
        <f t="shared" si="138"/>
        <v>1620.175345541586</v>
      </c>
      <c r="AC91" s="74">
        <f t="shared" ref="AC91:AH91" si="139">AC90+AC84+AC80</f>
        <v>0</v>
      </c>
      <c r="AD91" s="74">
        <f t="shared" si="139"/>
        <v>0</v>
      </c>
      <c r="AE91" s="74">
        <f t="shared" si="139"/>
        <v>0</v>
      </c>
      <c r="AF91" s="74">
        <f t="shared" si="139"/>
        <v>0</v>
      </c>
      <c r="AG91" s="74">
        <f t="shared" si="139"/>
        <v>0</v>
      </c>
      <c r="AH91" s="74">
        <f t="shared" si="139"/>
        <v>0</v>
      </c>
    </row>
    <row r="92" spans="1:34" outlineLevel="1">
      <c r="P92" s="40"/>
    </row>
    <row r="93" spans="1:34" outlineLevel="1">
      <c r="A93" s="73" t="s">
        <v>282</v>
      </c>
      <c r="B93" s="73" t="s">
        <v>96</v>
      </c>
      <c r="C93" s="74"/>
      <c r="D93" s="74">
        <f>C94</f>
        <v>0</v>
      </c>
      <c r="E93" s="74">
        <f t="shared" ref="E93:O93" si="140">D94</f>
        <v>0</v>
      </c>
      <c r="F93" s="74">
        <f t="shared" si="140"/>
        <v>758.05859670635232</v>
      </c>
      <c r="G93" s="74">
        <f t="shared" si="140"/>
        <v>834.33149358093624</v>
      </c>
      <c r="H93" s="74">
        <f t="shared" si="140"/>
        <v>799.66055968894216</v>
      </c>
      <c r="I93" s="74">
        <f t="shared" si="140"/>
        <v>229.3782709526281</v>
      </c>
      <c r="J93" s="74">
        <f t="shared" si="140"/>
        <v>-318.47437156793853</v>
      </c>
      <c r="K93" s="74">
        <f t="shared" si="140"/>
        <v>-714.70043093321078</v>
      </c>
      <c r="L93" s="74">
        <f t="shared" si="140"/>
        <v>-960.45025552003938</v>
      </c>
      <c r="M93" s="74">
        <f t="shared" si="140"/>
        <v>-1034.8569839200038</v>
      </c>
      <c r="N93" s="74">
        <f t="shared" si="140"/>
        <v>-918.65456470715822</v>
      </c>
      <c r="O93" s="74">
        <f t="shared" si="140"/>
        <v>-611.30531545063855</v>
      </c>
      <c r="P93" s="74">
        <f t="shared" ref="P93:AA93" si="141">O94</f>
        <v>-111.64170038167367</v>
      </c>
      <c r="Q93" s="74">
        <f t="shared" si="141"/>
        <v>611.14477372428701</v>
      </c>
      <c r="R93" s="74">
        <f t="shared" si="141"/>
        <v>1578.2568268528626</v>
      </c>
      <c r="S93" s="74">
        <f t="shared" si="141"/>
        <v>2794.2239351585949</v>
      </c>
      <c r="T93" s="74">
        <f t="shared" si="141"/>
        <v>4264.4560879245191</v>
      </c>
      <c r="U93" s="74">
        <f t="shared" si="141"/>
        <v>5823.6850597004814</v>
      </c>
      <c r="V93" s="74">
        <f t="shared" si="141"/>
        <v>7293.3967011825935</v>
      </c>
      <c r="W93" s="74">
        <f t="shared" si="141"/>
        <v>8726.1351239389078</v>
      </c>
      <c r="X93" s="74">
        <f t="shared" si="141"/>
        <v>10194.791299757462</v>
      </c>
      <c r="Y93" s="74">
        <f t="shared" si="141"/>
        <v>11693.797260562502</v>
      </c>
      <c r="Z93" s="74">
        <f t="shared" si="141"/>
        <v>13240.685918120556</v>
      </c>
      <c r="AA93" s="74">
        <f t="shared" si="141"/>
        <v>14826.291258288089</v>
      </c>
      <c r="AC93" s="74">
        <f t="shared" ref="AC93:AH93" si="142">AB94</f>
        <v>0</v>
      </c>
      <c r="AD93" s="74">
        <f t="shared" si="142"/>
        <v>0</v>
      </c>
      <c r="AE93" s="74">
        <f t="shared" si="142"/>
        <v>0</v>
      </c>
      <c r="AF93" s="74">
        <f t="shared" si="142"/>
        <v>0</v>
      </c>
      <c r="AG93" s="74">
        <f t="shared" si="142"/>
        <v>0</v>
      </c>
      <c r="AH93" s="74">
        <f t="shared" si="142"/>
        <v>0</v>
      </c>
    </row>
    <row r="94" spans="1:34" outlineLevel="1">
      <c r="A94" s="73" t="s">
        <v>283</v>
      </c>
      <c r="B94" s="73" t="s">
        <v>96</v>
      </c>
      <c r="C94" s="74"/>
      <c r="D94" s="74">
        <f t="shared" ref="D94:N94" si="143">D93+D91</f>
        <v>0</v>
      </c>
      <c r="E94" s="74">
        <f t="shared" si="143"/>
        <v>758.05859670635232</v>
      </c>
      <c r="F94" s="74">
        <f t="shared" si="143"/>
        <v>834.33149358093624</v>
      </c>
      <c r="G94" s="74">
        <f t="shared" si="143"/>
        <v>799.66055968894216</v>
      </c>
      <c r="H94" s="74">
        <f t="shared" si="143"/>
        <v>229.3782709526281</v>
      </c>
      <c r="I94" s="74">
        <f t="shared" si="143"/>
        <v>-318.47437156793853</v>
      </c>
      <c r="J94" s="74">
        <f t="shared" si="143"/>
        <v>-714.70043093321078</v>
      </c>
      <c r="K94" s="74">
        <f t="shared" si="143"/>
        <v>-960.45025552003938</v>
      </c>
      <c r="L94" s="74">
        <f t="shared" si="143"/>
        <v>-1034.8569839200038</v>
      </c>
      <c r="M94" s="74">
        <f t="shared" si="143"/>
        <v>-918.65456470715822</v>
      </c>
      <c r="N94" s="74">
        <f t="shared" si="143"/>
        <v>-611.30531545063855</v>
      </c>
      <c r="O94" s="74">
        <f t="shared" ref="O94:W94" si="144">O93+O91</f>
        <v>-111.64170038167367</v>
      </c>
      <c r="P94" s="74">
        <f t="shared" si="144"/>
        <v>611.14477372428701</v>
      </c>
      <c r="Q94" s="74">
        <f t="shared" si="144"/>
        <v>1578.2568268528626</v>
      </c>
      <c r="R94" s="74">
        <f t="shared" si="144"/>
        <v>2794.2239351585949</v>
      </c>
      <c r="S94" s="74">
        <f t="shared" si="144"/>
        <v>4264.4560879245191</v>
      </c>
      <c r="T94" s="74">
        <f t="shared" si="144"/>
        <v>5823.6850597004814</v>
      </c>
      <c r="U94" s="74">
        <f t="shared" si="144"/>
        <v>7293.3967011825935</v>
      </c>
      <c r="V94" s="74">
        <f t="shared" si="144"/>
        <v>8726.1351239389078</v>
      </c>
      <c r="W94" s="74">
        <f t="shared" si="144"/>
        <v>10194.791299757462</v>
      </c>
      <c r="X94" s="74">
        <f t="shared" ref="X94:AA94" si="145">X93+X91</f>
        <v>11693.797260562502</v>
      </c>
      <c r="Y94" s="74">
        <f t="shared" si="145"/>
        <v>13240.685918120556</v>
      </c>
      <c r="Z94" s="74">
        <f t="shared" si="145"/>
        <v>14826.291258288089</v>
      </c>
      <c r="AA94" s="74">
        <f t="shared" si="145"/>
        <v>16446.466603829675</v>
      </c>
      <c r="AC94" s="74">
        <f t="shared" ref="AC94:AH94" si="146">AC93+AC91</f>
        <v>0</v>
      </c>
      <c r="AD94" s="74">
        <f t="shared" si="146"/>
        <v>0</v>
      </c>
      <c r="AE94" s="74">
        <f t="shared" si="146"/>
        <v>0</v>
      </c>
      <c r="AF94" s="74">
        <f t="shared" si="146"/>
        <v>0</v>
      </c>
      <c r="AG94" s="74">
        <f t="shared" si="146"/>
        <v>0</v>
      </c>
      <c r="AH94" s="74">
        <f t="shared" si="146"/>
        <v>0</v>
      </c>
    </row>
    <row r="95" spans="1:34" outlineLevel="1"/>
    <row r="96" spans="1:34" outlineLevel="1">
      <c r="P96" s="47"/>
    </row>
    <row r="97" spans="1:47" ht="33" customHeight="1">
      <c r="A97" s="106" t="s">
        <v>284</v>
      </c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12" t="s">
        <v>285</v>
      </c>
      <c r="AJ97" s="113"/>
      <c r="AK97" s="113"/>
    </row>
    <row r="98" spans="1:47">
      <c r="A98" s="39" t="s">
        <v>286</v>
      </c>
      <c r="B98" s="39" t="s">
        <v>96</v>
      </c>
      <c r="D98" s="40">
        <f>D54*(1-D66)</f>
        <v>0</v>
      </c>
      <c r="E98" s="40">
        <f t="shared" ref="E98:O98" si="147">E54*(1-E66)</f>
        <v>-1152.8807824909111</v>
      </c>
      <c r="F98" s="40">
        <f t="shared" si="147"/>
        <v>-1150.2273095456567</v>
      </c>
      <c r="G98" s="40">
        <f t="shared" si="147"/>
        <v>-1173.0752418686523</v>
      </c>
      <c r="H98" s="40">
        <f t="shared" si="147"/>
        <v>-748.23387866671908</v>
      </c>
      <c r="I98" s="40">
        <f t="shared" si="147"/>
        <v>-607.98632868508855</v>
      </c>
      <c r="J98" s="40">
        <f t="shared" si="147"/>
        <v>-459.76752049909442</v>
      </c>
      <c r="K98" s="40">
        <f t="shared" si="147"/>
        <v>-322.62801794945625</v>
      </c>
      <c r="L98" s="40">
        <f t="shared" si="147"/>
        <v>-136.22205368489065</v>
      </c>
      <c r="M98" s="40">
        <f t="shared" si="147"/>
        <v>40.467421640442524</v>
      </c>
      <c r="N98" s="40">
        <f t="shared" si="147"/>
        <v>227.2845972924444</v>
      </c>
      <c r="O98" s="40">
        <f t="shared" si="147"/>
        <v>405.29203295299084</v>
      </c>
      <c r="P98" s="40">
        <f t="shared" ref="P98:W98" si="148">P54*(1-P66)</f>
        <v>640.18845472120404</v>
      </c>
      <c r="Q98" s="40">
        <f t="shared" si="148"/>
        <v>869.02862536387011</v>
      </c>
      <c r="R98" s="40">
        <f t="shared" si="148"/>
        <v>1111.8890322886291</v>
      </c>
      <c r="S98" s="40">
        <f t="shared" si="148"/>
        <v>1350.0774005584815</v>
      </c>
      <c r="T98" s="40">
        <f t="shared" si="148"/>
        <v>1472.7207266898358</v>
      </c>
      <c r="U98" s="40">
        <f t="shared" si="148"/>
        <v>1370.3451013470085</v>
      </c>
      <c r="V98" s="40">
        <f t="shared" si="148"/>
        <v>1409.9243573704778</v>
      </c>
      <c r="W98" s="40">
        <f t="shared" si="148"/>
        <v>1435.6569632195276</v>
      </c>
      <c r="X98" s="40">
        <f t="shared" ref="X98:AA98" si="149">X54*(1-X66)</f>
        <v>1487.3664259157645</v>
      </c>
      <c r="Y98" s="40">
        <f t="shared" si="149"/>
        <v>1525.124403725664</v>
      </c>
      <c r="Z98" s="40">
        <f t="shared" si="149"/>
        <v>1563.490536733209</v>
      </c>
      <c r="AA98" s="40">
        <f t="shared" si="149"/>
        <v>1587.9246202920167</v>
      </c>
      <c r="AB98" s="40">
        <f t="shared" ref="AB98:AB99" si="150">SUM(X98:AA98)*$AB$103</f>
        <v>6533.7403458666531</v>
      </c>
    </row>
    <row r="99" spans="1:47">
      <c r="A99" s="39" t="s">
        <v>287</v>
      </c>
      <c r="B99" s="39" t="s">
        <v>96</v>
      </c>
      <c r="D99" s="40">
        <f t="shared" ref="D99:D100" si="151">D72</f>
        <v>0</v>
      </c>
      <c r="E99" s="40">
        <f t="shared" ref="E99:O100" si="152">E72</f>
        <v>0</v>
      </c>
      <c r="F99" s="40">
        <f t="shared" si="152"/>
        <v>0</v>
      </c>
      <c r="G99" s="40">
        <f t="shared" si="152"/>
        <v>0</v>
      </c>
      <c r="H99" s="40">
        <f t="shared" si="152"/>
        <v>0</v>
      </c>
      <c r="I99" s="40">
        <f t="shared" si="152"/>
        <v>0</v>
      </c>
      <c r="J99" s="40">
        <f t="shared" si="152"/>
        <v>0</v>
      </c>
      <c r="K99" s="40">
        <f t="shared" si="152"/>
        <v>0</v>
      </c>
      <c r="L99" s="40">
        <f t="shared" si="152"/>
        <v>0</v>
      </c>
      <c r="M99" s="40">
        <f t="shared" si="152"/>
        <v>0</v>
      </c>
      <c r="N99" s="40">
        <f t="shared" si="152"/>
        <v>0</v>
      </c>
      <c r="O99" s="40">
        <f t="shared" si="152"/>
        <v>0</v>
      </c>
      <c r="P99" s="40">
        <f t="shared" ref="P99:W100" si="153">P72</f>
        <v>0</v>
      </c>
      <c r="Q99" s="40">
        <f t="shared" si="153"/>
        <v>0</v>
      </c>
      <c r="R99" s="40">
        <f t="shared" si="153"/>
        <v>0</v>
      </c>
      <c r="S99" s="40">
        <f t="shared" si="153"/>
        <v>0</v>
      </c>
      <c r="T99" s="40">
        <f t="shared" si="153"/>
        <v>0</v>
      </c>
      <c r="U99" s="40">
        <f t="shared" si="153"/>
        <v>0</v>
      </c>
      <c r="V99" s="40">
        <f t="shared" si="153"/>
        <v>0</v>
      </c>
      <c r="W99" s="40">
        <f t="shared" si="153"/>
        <v>0</v>
      </c>
      <c r="X99" s="40">
        <f t="shared" ref="X99:AA100" si="154">X72</f>
        <v>0</v>
      </c>
      <c r="Y99" s="40">
        <f t="shared" si="154"/>
        <v>0</v>
      </c>
      <c r="Z99" s="40">
        <f t="shared" si="154"/>
        <v>0</v>
      </c>
      <c r="AA99" s="40">
        <f t="shared" si="154"/>
        <v>0</v>
      </c>
      <c r="AB99" s="40">
        <f t="shared" si="150"/>
        <v>0</v>
      </c>
    </row>
    <row r="100" spans="1:47">
      <c r="A100" s="39" t="s">
        <v>288</v>
      </c>
      <c r="B100" s="39" t="s">
        <v>96</v>
      </c>
      <c r="D100" s="40">
        <f t="shared" si="151"/>
        <v>0</v>
      </c>
      <c r="E100" s="40">
        <f>E73</f>
        <v>754.94586195907914</v>
      </c>
      <c r="F100" s="40">
        <f t="shared" si="152"/>
        <v>17.43635130407236</v>
      </c>
      <c r="G100" s="40">
        <f t="shared" si="152"/>
        <v>-18.622006452589947</v>
      </c>
      <c r="H100" s="40">
        <f t="shared" si="152"/>
        <v>177.95158993040502</v>
      </c>
      <c r="I100" s="40">
        <f t="shared" si="152"/>
        <v>60.133686164521841</v>
      </c>
      <c r="J100" s="40">
        <f t="shared" si="152"/>
        <v>63.541461133822111</v>
      </c>
      <c r="K100" s="40">
        <f t="shared" si="152"/>
        <v>76.878193362627655</v>
      </c>
      <c r="L100" s="40">
        <f t="shared" si="152"/>
        <v>61.815325284926132</v>
      </c>
      <c r="M100" s="40">
        <f t="shared" si="152"/>
        <v>75.734997572403131</v>
      </c>
      <c r="N100" s="40">
        <f t="shared" si="152"/>
        <v>80.064651964075168</v>
      </c>
      <c r="O100" s="40">
        <f t="shared" si="152"/>
        <v>94.371582115974007</v>
      </c>
      <c r="P100" s="40">
        <f t="shared" si="153"/>
        <v>82.598019384756611</v>
      </c>
      <c r="Q100" s="40">
        <f t="shared" si="153"/>
        <v>98.083427764705547</v>
      </c>
      <c r="R100" s="40">
        <f t="shared" si="153"/>
        <v>104.07807601710344</v>
      </c>
      <c r="S100" s="40">
        <f t="shared" si="153"/>
        <v>120.15475220744256</v>
      </c>
      <c r="T100" s="40">
        <f t="shared" si="153"/>
        <v>86.508245086126422</v>
      </c>
      <c r="U100" s="40">
        <f t="shared" si="153"/>
        <v>99.366540135103506</v>
      </c>
      <c r="V100" s="40">
        <f t="shared" si="153"/>
        <v>22.814065385836273</v>
      </c>
      <c r="W100" s="40">
        <f t="shared" si="153"/>
        <v>32.99921259902743</v>
      </c>
      <c r="X100" s="40">
        <f t="shared" si="154"/>
        <v>11.639534889275012</v>
      </c>
      <c r="Y100" s="40">
        <f t="shared" si="154"/>
        <v>21.764253832390068</v>
      </c>
      <c r="Z100" s="40">
        <f t="shared" si="154"/>
        <v>22.114803434323562</v>
      </c>
      <c r="AA100" s="40">
        <f t="shared" si="154"/>
        <v>32.250725249569427</v>
      </c>
      <c r="AB100" s="40">
        <f>SUM(X100:AA100)*$AB$103</f>
        <v>93.035476449891561</v>
      </c>
      <c r="AJ100" s="113"/>
      <c r="AK100" s="113"/>
    </row>
    <row r="101" spans="1:47">
      <c r="A101" s="39" t="s">
        <v>289</v>
      </c>
      <c r="B101" s="39" t="s">
        <v>96</v>
      </c>
      <c r="D101" s="40">
        <f>D83</f>
        <v>0</v>
      </c>
      <c r="E101" s="40">
        <f t="shared" ref="E101:O101" si="155">E83</f>
        <v>0</v>
      </c>
      <c r="F101" s="40">
        <f t="shared" si="155"/>
        <v>0</v>
      </c>
      <c r="G101" s="40">
        <f t="shared" si="155"/>
        <v>0</v>
      </c>
      <c r="H101" s="40">
        <f t="shared" si="155"/>
        <v>0</v>
      </c>
      <c r="I101" s="40">
        <f t="shared" si="155"/>
        <v>0</v>
      </c>
      <c r="J101" s="40">
        <f t="shared" si="155"/>
        <v>0</v>
      </c>
      <c r="K101" s="40">
        <f t="shared" si="155"/>
        <v>0</v>
      </c>
      <c r="L101" s="40">
        <f t="shared" si="155"/>
        <v>0</v>
      </c>
      <c r="M101" s="40">
        <f t="shared" si="155"/>
        <v>0</v>
      </c>
      <c r="N101" s="40">
        <f t="shared" si="155"/>
        <v>0</v>
      </c>
      <c r="O101" s="40">
        <f t="shared" si="155"/>
        <v>0</v>
      </c>
      <c r="P101" s="40">
        <f t="shared" ref="P101:W101" si="156">P83</f>
        <v>0</v>
      </c>
      <c r="Q101" s="40">
        <f t="shared" si="156"/>
        <v>0</v>
      </c>
      <c r="R101" s="40">
        <f t="shared" si="156"/>
        <v>0</v>
      </c>
      <c r="S101" s="40">
        <f t="shared" si="156"/>
        <v>0</v>
      </c>
      <c r="T101" s="40">
        <f t="shared" si="156"/>
        <v>0</v>
      </c>
      <c r="U101" s="40">
        <f t="shared" si="156"/>
        <v>0</v>
      </c>
      <c r="V101" s="40">
        <f t="shared" si="156"/>
        <v>0</v>
      </c>
      <c r="W101" s="40">
        <f t="shared" si="156"/>
        <v>0</v>
      </c>
      <c r="X101" s="40">
        <f t="shared" ref="X101:AA101" si="157">X83</f>
        <v>0</v>
      </c>
      <c r="Y101" s="40">
        <f t="shared" si="157"/>
        <v>0</v>
      </c>
      <c r="Z101" s="40">
        <f t="shared" si="157"/>
        <v>0</v>
      </c>
      <c r="AA101" s="40">
        <f t="shared" si="157"/>
        <v>0</v>
      </c>
      <c r="AB101" s="40">
        <f>(W101*AVERAGE(Инвестиции!H9:H19))*$AB$103</f>
        <v>0</v>
      </c>
    </row>
    <row r="102" spans="1:47" outlineLevel="1">
      <c r="A102" s="73" t="s">
        <v>290</v>
      </c>
      <c r="B102" s="73" t="s">
        <v>96</v>
      </c>
      <c r="C102" s="74"/>
      <c r="D102" s="74">
        <f t="shared" ref="D102:O102" si="158">SUM(D98:D101)</f>
        <v>0</v>
      </c>
      <c r="E102" s="74">
        <f t="shared" si="158"/>
        <v>-397.93492053183195</v>
      </c>
      <c r="F102" s="74">
        <f t="shared" si="158"/>
        <v>-1132.7909582415843</v>
      </c>
      <c r="G102" s="74">
        <f t="shared" si="158"/>
        <v>-1191.6972483212421</v>
      </c>
      <c r="H102" s="74">
        <f t="shared" si="158"/>
        <v>-570.28228873631406</v>
      </c>
      <c r="I102" s="74">
        <f t="shared" si="158"/>
        <v>-547.85264252056675</v>
      </c>
      <c r="J102" s="74">
        <f t="shared" si="158"/>
        <v>-396.22605936527231</v>
      </c>
      <c r="K102" s="74">
        <f t="shared" si="158"/>
        <v>-245.74982458682859</v>
      </c>
      <c r="L102" s="74">
        <f t="shared" si="158"/>
        <v>-74.406728399964521</v>
      </c>
      <c r="M102" s="74">
        <f t="shared" si="158"/>
        <v>116.20241921284565</v>
      </c>
      <c r="N102" s="74">
        <f t="shared" si="158"/>
        <v>307.34924925651956</v>
      </c>
      <c r="O102" s="74">
        <f t="shared" si="158"/>
        <v>499.66361506896487</v>
      </c>
      <c r="P102" s="74">
        <f t="shared" ref="P102:W102" si="159">SUM(P98:P101)</f>
        <v>722.78647410596068</v>
      </c>
      <c r="Q102" s="74">
        <f t="shared" si="159"/>
        <v>967.11205312857567</v>
      </c>
      <c r="R102" s="74">
        <f t="shared" si="159"/>
        <v>1215.9671083057326</v>
      </c>
      <c r="S102" s="74">
        <f t="shared" si="159"/>
        <v>1470.232152765924</v>
      </c>
      <c r="T102" s="74">
        <f t="shared" si="159"/>
        <v>1559.2289717759622</v>
      </c>
      <c r="U102" s="74">
        <f t="shared" si="159"/>
        <v>1469.7116414821121</v>
      </c>
      <c r="V102" s="74">
        <f t="shared" si="159"/>
        <v>1432.7384227563141</v>
      </c>
      <c r="W102" s="74">
        <f t="shared" si="159"/>
        <v>1468.6561758185551</v>
      </c>
      <c r="X102" s="74">
        <f t="shared" ref="X102:AA102" si="160">SUM(X98:X101)</f>
        <v>1499.0059608050394</v>
      </c>
      <c r="Y102" s="74">
        <f t="shared" si="160"/>
        <v>1546.8886575580541</v>
      </c>
      <c r="Z102" s="74">
        <f t="shared" si="160"/>
        <v>1585.6053401675326</v>
      </c>
      <c r="AA102" s="74">
        <f t="shared" si="160"/>
        <v>1620.175345541586</v>
      </c>
      <c r="AB102" s="74">
        <f>SUM(AB98:AB101)</f>
        <v>6626.7758223165447</v>
      </c>
    </row>
    <row r="103" spans="1:47">
      <c r="A103" s="108" t="s">
        <v>291</v>
      </c>
      <c r="B103" s="108" t="s">
        <v>49</v>
      </c>
      <c r="C103" s="97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>
        <f>(1+Предположения!$L$20)</f>
        <v>1.06</v>
      </c>
      <c r="AJ103" s="113"/>
      <c r="AK103" s="113"/>
    </row>
    <row r="104" spans="1:47">
      <c r="A104" s="38" t="s">
        <v>285</v>
      </c>
      <c r="B104" s="38" t="s">
        <v>96</v>
      </c>
      <c r="C104" s="75"/>
      <c r="D104" s="75" t="s">
        <v>292</v>
      </c>
      <c r="E104" s="75" t="s">
        <v>292</v>
      </c>
      <c r="F104" s="75" t="s">
        <v>292</v>
      </c>
      <c r="G104" s="75" t="s">
        <v>292</v>
      </c>
      <c r="H104" s="75" t="s">
        <v>292</v>
      </c>
      <c r="I104" s="75" t="s">
        <v>292</v>
      </c>
      <c r="J104" s="75" t="s">
        <v>292</v>
      </c>
      <c r="K104" s="75" t="s">
        <v>292</v>
      </c>
      <c r="L104" s="75" t="s">
        <v>292</v>
      </c>
      <c r="M104" s="75" t="s">
        <v>292</v>
      </c>
      <c r="N104" s="75" t="s">
        <v>292</v>
      </c>
      <c r="O104" s="75" t="s">
        <v>292</v>
      </c>
      <c r="P104" s="75" t="s">
        <v>292</v>
      </c>
      <c r="Q104" s="75" t="s">
        <v>292</v>
      </c>
      <c r="R104" s="75" t="s">
        <v>292</v>
      </c>
      <c r="S104" s="75" t="s">
        <v>292</v>
      </c>
      <c r="T104" s="75" t="s">
        <v>292</v>
      </c>
      <c r="U104" s="75" t="s">
        <v>292</v>
      </c>
      <c r="V104" s="75" t="s">
        <v>292</v>
      </c>
      <c r="W104" s="75" t="s">
        <v>292</v>
      </c>
      <c r="X104" s="75" t="s">
        <v>292</v>
      </c>
      <c r="Y104" s="75" t="s">
        <v>292</v>
      </c>
      <c r="Z104" s="75" t="s">
        <v>292</v>
      </c>
      <c r="AA104" s="75" t="s">
        <v>292</v>
      </c>
      <c r="AB104" s="75">
        <f>AB102/(AB105-(AB103-1))</f>
        <v>34877.76748587656</v>
      </c>
    </row>
    <row r="105" spans="1:47">
      <c r="A105" s="108" t="s">
        <v>114</v>
      </c>
      <c r="B105" s="108" t="s">
        <v>49</v>
      </c>
      <c r="C105" s="97"/>
      <c r="D105" s="109">
        <f>Предположения!C92</f>
        <v>0.25</v>
      </c>
      <c r="E105" s="109">
        <f>D105</f>
        <v>0.25</v>
      </c>
      <c r="F105" s="109">
        <f t="shared" ref="F105:O105" si="161">E105</f>
        <v>0.25</v>
      </c>
      <c r="G105" s="109">
        <f t="shared" si="161"/>
        <v>0.25</v>
      </c>
      <c r="H105" s="109">
        <f t="shared" si="161"/>
        <v>0.25</v>
      </c>
      <c r="I105" s="109">
        <f t="shared" si="161"/>
        <v>0.25</v>
      </c>
      <c r="J105" s="109">
        <f t="shared" si="161"/>
        <v>0.25</v>
      </c>
      <c r="K105" s="109">
        <f t="shared" si="161"/>
        <v>0.25</v>
      </c>
      <c r="L105" s="109">
        <f t="shared" si="161"/>
        <v>0.25</v>
      </c>
      <c r="M105" s="109">
        <f t="shared" si="161"/>
        <v>0.25</v>
      </c>
      <c r="N105" s="109">
        <f t="shared" si="161"/>
        <v>0.25</v>
      </c>
      <c r="O105" s="109">
        <f t="shared" si="161"/>
        <v>0.25</v>
      </c>
      <c r="P105" s="109">
        <f t="shared" ref="P105:AB105" si="162">O105</f>
        <v>0.25</v>
      </c>
      <c r="Q105" s="109">
        <f t="shared" si="162"/>
        <v>0.25</v>
      </c>
      <c r="R105" s="109">
        <f t="shared" si="162"/>
        <v>0.25</v>
      </c>
      <c r="S105" s="109">
        <f t="shared" si="162"/>
        <v>0.25</v>
      </c>
      <c r="T105" s="109">
        <f t="shared" si="162"/>
        <v>0.25</v>
      </c>
      <c r="U105" s="109">
        <f t="shared" si="162"/>
        <v>0.25</v>
      </c>
      <c r="V105" s="109">
        <f t="shared" si="162"/>
        <v>0.25</v>
      </c>
      <c r="W105" s="109">
        <f t="shared" si="162"/>
        <v>0.25</v>
      </c>
      <c r="X105" s="109">
        <f t="shared" si="162"/>
        <v>0.25</v>
      </c>
      <c r="Y105" s="109">
        <f t="shared" si="162"/>
        <v>0.25</v>
      </c>
      <c r="Z105" s="109">
        <f t="shared" si="162"/>
        <v>0.25</v>
      </c>
      <c r="AA105" s="109">
        <f t="shared" si="162"/>
        <v>0.25</v>
      </c>
      <c r="AB105" s="109">
        <f t="shared" si="162"/>
        <v>0.25</v>
      </c>
    </row>
    <row r="106" spans="1:47">
      <c r="A106" s="39" t="s">
        <v>46</v>
      </c>
      <c r="D106" s="69">
        <f>D6</f>
        <v>0.25</v>
      </c>
      <c r="E106" s="69">
        <f t="shared" ref="E106:O106" si="163">E6</f>
        <v>0.25</v>
      </c>
      <c r="F106" s="69">
        <f t="shared" si="163"/>
        <v>0.25</v>
      </c>
      <c r="G106" s="69">
        <f t="shared" si="163"/>
        <v>0.25</v>
      </c>
      <c r="H106" s="69">
        <f t="shared" si="163"/>
        <v>0.25</v>
      </c>
      <c r="I106" s="69">
        <f t="shared" si="163"/>
        <v>0.25</v>
      </c>
      <c r="J106" s="69">
        <f t="shared" si="163"/>
        <v>0.25</v>
      </c>
      <c r="K106" s="69">
        <f t="shared" si="163"/>
        <v>0.25</v>
      </c>
      <c r="L106" s="69">
        <f t="shared" si="163"/>
        <v>0.25</v>
      </c>
      <c r="M106" s="69">
        <f t="shared" si="163"/>
        <v>0.25</v>
      </c>
      <c r="N106" s="69">
        <f t="shared" si="163"/>
        <v>0.25</v>
      </c>
      <c r="O106" s="69">
        <f t="shared" si="163"/>
        <v>0.25</v>
      </c>
      <c r="P106" s="69">
        <f t="shared" ref="P106:W106" si="164">P6</f>
        <v>0.25</v>
      </c>
      <c r="Q106" s="69">
        <f t="shared" si="164"/>
        <v>0.25</v>
      </c>
      <c r="R106" s="69">
        <f t="shared" si="164"/>
        <v>0.25</v>
      </c>
      <c r="S106" s="69">
        <f t="shared" si="164"/>
        <v>0.25</v>
      </c>
      <c r="T106" s="69">
        <f t="shared" si="164"/>
        <v>0.25</v>
      </c>
      <c r="U106" s="69">
        <f t="shared" si="164"/>
        <v>0.25</v>
      </c>
      <c r="V106" s="69">
        <f t="shared" si="164"/>
        <v>0.25</v>
      </c>
      <c r="W106" s="69">
        <f t="shared" si="164"/>
        <v>0.25</v>
      </c>
      <c r="X106" s="69">
        <f t="shared" ref="X106:AA106" si="165">X6</f>
        <v>0.25</v>
      </c>
      <c r="Y106" s="69">
        <f t="shared" si="165"/>
        <v>0.25</v>
      </c>
      <c r="Z106" s="69">
        <f t="shared" si="165"/>
        <v>0.25</v>
      </c>
      <c r="AA106" s="69">
        <f t="shared" si="165"/>
        <v>0.25</v>
      </c>
      <c r="AB106" s="69" t="s">
        <v>292</v>
      </c>
      <c r="AJ106" s="113"/>
      <c r="AK106" s="113"/>
    </row>
    <row r="107" spans="1:47">
      <c r="A107" s="39" t="s">
        <v>293</v>
      </c>
      <c r="D107" s="69">
        <f t="shared" ref="D107:O107" si="166">1/(1+D105)^D106</f>
        <v>0.94574160900317583</v>
      </c>
      <c r="E107" s="69">
        <f t="shared" si="166"/>
        <v>0.94574160900317583</v>
      </c>
      <c r="F107" s="69">
        <f t="shared" si="166"/>
        <v>0.94574160900317583</v>
      </c>
      <c r="G107" s="69">
        <f t="shared" si="166"/>
        <v>0.94574160900317583</v>
      </c>
      <c r="H107" s="69">
        <f t="shared" si="166"/>
        <v>0.94574160900317583</v>
      </c>
      <c r="I107" s="69">
        <f t="shared" si="166"/>
        <v>0.94574160900317583</v>
      </c>
      <c r="J107" s="69">
        <f t="shared" si="166"/>
        <v>0.94574160900317583</v>
      </c>
      <c r="K107" s="69">
        <f t="shared" si="166"/>
        <v>0.94574160900317583</v>
      </c>
      <c r="L107" s="69">
        <f t="shared" si="166"/>
        <v>0.94574160900317583</v>
      </c>
      <c r="M107" s="69">
        <f t="shared" si="166"/>
        <v>0.94574160900317583</v>
      </c>
      <c r="N107" s="69">
        <f t="shared" si="166"/>
        <v>0.94574160900317583</v>
      </c>
      <c r="O107" s="69">
        <f t="shared" si="166"/>
        <v>0.94574160900317583</v>
      </c>
      <c r="P107" s="69">
        <f t="shared" ref="P107:W107" si="167">1/(1+P105)^P106</f>
        <v>0.94574160900317583</v>
      </c>
      <c r="Q107" s="69">
        <f t="shared" si="167"/>
        <v>0.94574160900317583</v>
      </c>
      <c r="R107" s="69">
        <f t="shared" si="167"/>
        <v>0.94574160900317583</v>
      </c>
      <c r="S107" s="69">
        <f t="shared" si="167"/>
        <v>0.94574160900317583</v>
      </c>
      <c r="T107" s="69">
        <f t="shared" si="167"/>
        <v>0.94574160900317583</v>
      </c>
      <c r="U107" s="69">
        <f t="shared" si="167"/>
        <v>0.94574160900317583</v>
      </c>
      <c r="V107" s="69">
        <f t="shared" si="167"/>
        <v>0.94574160900317583</v>
      </c>
      <c r="W107" s="69">
        <f t="shared" si="167"/>
        <v>0.94574160900317583</v>
      </c>
      <c r="X107" s="69">
        <f t="shared" ref="X107:AA107" si="168">1/(1+X105)^X106</f>
        <v>0.94574160900317583</v>
      </c>
      <c r="Y107" s="69">
        <f t="shared" si="168"/>
        <v>0.94574160900317583</v>
      </c>
      <c r="Z107" s="69">
        <f t="shared" si="168"/>
        <v>0.94574160900317583</v>
      </c>
      <c r="AA107" s="69">
        <f t="shared" si="168"/>
        <v>0.94574160900317583</v>
      </c>
      <c r="AB107" s="69" t="s">
        <v>292</v>
      </c>
    </row>
    <row r="108" spans="1:47">
      <c r="A108" s="39" t="s">
        <v>294</v>
      </c>
      <c r="D108" s="69">
        <f>PRODUCT($D$107:D107)</f>
        <v>0.94574160900317583</v>
      </c>
      <c r="E108" s="69">
        <f>PRODUCT($D$107:E107)</f>
        <v>0.89442719099991597</v>
      </c>
      <c r="F108" s="69">
        <f>PRODUCT($D$107:F107)</f>
        <v>0.84589701075245138</v>
      </c>
      <c r="G108" s="69">
        <f>PRODUCT($D$107:G107)</f>
        <v>0.8</v>
      </c>
      <c r="H108" s="69">
        <f>PRODUCT($D$107:H107)</f>
        <v>0.75659328720254071</v>
      </c>
      <c r="I108" s="69">
        <f>PRODUCT($D$107:I107)</f>
        <v>0.71554175279993282</v>
      </c>
      <c r="J108" s="69">
        <f>PRODUCT($D$107:J107)</f>
        <v>0.67671760860196117</v>
      </c>
      <c r="K108" s="69">
        <f>PRODUCT($D$107:K107)</f>
        <v>0.64000000000000012</v>
      </c>
      <c r="L108" s="69">
        <f>PRODUCT($D$107:L107)</f>
        <v>0.60527462976203261</v>
      </c>
      <c r="M108" s="69">
        <f>PRODUCT($D$107:M107)</f>
        <v>0.57243340223994621</v>
      </c>
      <c r="N108" s="69">
        <f>PRODUCT($D$107:N107)</f>
        <v>0.54137408688156885</v>
      </c>
      <c r="O108" s="69">
        <f>PRODUCT($D$107:O107)</f>
        <v>0.51200000000000001</v>
      </c>
      <c r="P108" s="69">
        <f>PRODUCT($D$107:P107)</f>
        <v>0.48421970380962603</v>
      </c>
      <c r="Q108" s="69">
        <f>PRODUCT($D$107:Q107)</f>
        <v>0.45794672179195695</v>
      </c>
      <c r="R108" s="69">
        <f>PRODUCT($D$107:R107)</f>
        <v>0.43309926950525507</v>
      </c>
      <c r="S108" s="69">
        <f>PRODUCT($D$107:S107)</f>
        <v>0.40960000000000002</v>
      </c>
      <c r="T108" s="69">
        <f>PRODUCT($D$107:T107)</f>
        <v>0.38737576304770083</v>
      </c>
      <c r="U108" s="69">
        <f>PRODUCT($D$107:U107)</f>
        <v>0.36635737743356556</v>
      </c>
      <c r="V108" s="69">
        <f>PRODUCT($D$107:V107)</f>
        <v>0.34647941560420409</v>
      </c>
      <c r="W108" s="69">
        <f>PRODUCT($D$107:W107)</f>
        <v>0.32768000000000003</v>
      </c>
      <c r="X108" s="69">
        <f>PRODUCT($D$107:X107)</f>
        <v>0.3099006104381607</v>
      </c>
      <c r="Y108" s="69">
        <f>PRODUCT($D$107:Y107)</f>
        <v>0.29308590194685247</v>
      </c>
      <c r="Z108" s="69">
        <f>PRODUCT($D$107:Z107)</f>
        <v>0.2771835324833633</v>
      </c>
      <c r="AA108" s="69">
        <f>PRODUCT($D$107:AA107)</f>
        <v>0.26214400000000004</v>
      </c>
      <c r="AB108" s="69">
        <f>AA108</f>
        <v>0.26214400000000004</v>
      </c>
    </row>
    <row r="109" spans="1:47" outlineLevel="1">
      <c r="A109" s="73" t="s">
        <v>295</v>
      </c>
      <c r="B109" s="73" t="s">
        <v>96</v>
      </c>
      <c r="C109" s="74"/>
      <c r="D109" s="74">
        <f t="shared" ref="D109:O109" si="169">D108*D102</f>
        <v>0</v>
      </c>
      <c r="E109" s="74">
        <f t="shared" si="169"/>
        <v>-355.92381317206122</v>
      </c>
      <c r="F109" s="74">
        <f t="shared" si="169"/>
        <v>-958.22448538396122</v>
      </c>
      <c r="G109" s="74">
        <f t="shared" si="169"/>
        <v>-953.35779865699374</v>
      </c>
      <c r="H109" s="74">
        <f t="shared" si="169"/>
        <v>-431.47175146839629</v>
      </c>
      <c r="I109" s="74">
        <f t="shared" si="169"/>
        <v>-392.01144010524132</v>
      </c>
      <c r="J109" s="74">
        <f t="shared" si="169"/>
        <v>-268.13315135944578</v>
      </c>
      <c r="K109" s="74">
        <f t="shared" si="169"/>
        <v>-157.27988773557033</v>
      </c>
      <c r="L109" s="74">
        <f t="shared" si="169"/>
        <v>-45.036504984092645</v>
      </c>
      <c r="M109" s="74">
        <f t="shared" si="169"/>
        <v>66.518146178521732</v>
      </c>
      <c r="N109" s="74">
        <f t="shared" si="169"/>
        <v>166.39091916998399</v>
      </c>
      <c r="O109" s="74">
        <f t="shared" si="169"/>
        <v>255.82777091531003</v>
      </c>
      <c r="P109" s="74">
        <f t="shared" ref="P109:W109" si="170">P108*P102</f>
        <v>349.9874524091922</v>
      </c>
      <c r="Q109" s="74">
        <f t="shared" si="170"/>
        <v>442.88579433572011</v>
      </c>
      <c r="R109" s="74">
        <f t="shared" si="170"/>
        <v>526.6344663496302</v>
      </c>
      <c r="S109" s="74">
        <f t="shared" si="170"/>
        <v>602.20708977292247</v>
      </c>
      <c r="T109" s="74">
        <f t="shared" si="170"/>
        <v>604.0075127077954</v>
      </c>
      <c r="U109" s="74">
        <f t="shared" si="170"/>
        <v>538.43970255696729</v>
      </c>
      <c r="V109" s="74">
        <f t="shared" si="170"/>
        <v>496.4143714302968</v>
      </c>
      <c r="W109" s="74">
        <f t="shared" si="170"/>
        <v>481.24925569222415</v>
      </c>
      <c r="X109" s="74">
        <f t="shared" ref="X109:AA109" si="171">X108*X102</f>
        <v>464.5428623039233</v>
      </c>
      <c r="Y109" s="74">
        <f t="shared" si="171"/>
        <v>453.37125741175811</v>
      </c>
      <c r="Z109" s="74">
        <f t="shared" si="171"/>
        <v>439.50368931212159</v>
      </c>
      <c r="AA109" s="74">
        <f t="shared" si="171"/>
        <v>424.71924578165357</v>
      </c>
      <c r="AB109" s="74">
        <f>AB108*AB104</f>
        <v>9142.9974798176263</v>
      </c>
      <c r="AC109" s="40">
        <f>SUM(D109:G109)</f>
        <v>-2267.5060972130159</v>
      </c>
      <c r="AD109" s="40">
        <f>SUM(H109:K109)</f>
        <v>-1248.8962306686537</v>
      </c>
      <c r="AE109" s="40">
        <f>SUM(L109:O109)</f>
        <v>443.70033127972306</v>
      </c>
      <c r="AF109" s="40">
        <f>SUM(P109:S109)</f>
        <v>1921.7148028674649</v>
      </c>
      <c r="AG109" s="40">
        <f>SUM(T109:W109)</f>
        <v>2120.1108423872838</v>
      </c>
      <c r="AH109" s="40">
        <f>SUM(X109:AA109)</f>
        <v>1782.1370548094567</v>
      </c>
      <c r="AJ109" s="113"/>
      <c r="AK109" s="113"/>
    </row>
    <row r="110" spans="1:47">
      <c r="A110" s="114"/>
      <c r="B110" s="113"/>
      <c r="C110" s="115"/>
      <c r="D110" s="116"/>
      <c r="E110" s="116"/>
      <c r="F110" s="113"/>
      <c r="G110" s="117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3"/>
      <c r="AC110" s="113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3"/>
      <c r="AO110" s="113"/>
      <c r="AP110" s="113"/>
      <c r="AQ110" s="113"/>
      <c r="AR110" s="113"/>
      <c r="AS110" s="113"/>
      <c r="AT110" s="113"/>
      <c r="AU110" s="113"/>
    </row>
    <row r="111" spans="1:47" outlineLevel="1">
      <c r="A111" s="119" t="s">
        <v>296</v>
      </c>
      <c r="B111" s="120">
        <f>SUM(D109:AB109)</f>
        <v>11894.258183279886</v>
      </c>
      <c r="C111" s="120"/>
      <c r="D111" s="121">
        <f>SUM(E109:$AB$109)/D108</f>
        <v>12576.646802942922</v>
      </c>
      <c r="E111" s="121">
        <f>SUM(F109:$AB$109)/E108</f>
        <v>13696.119840405318</v>
      </c>
      <c r="F111" s="121">
        <f>SUM(G109:$AB$109)/F108</f>
        <v>15614.674498124334</v>
      </c>
      <c r="G111" s="121">
        <f>SUM(H109:$AB$109)/G108</f>
        <v>17702.205350616125</v>
      </c>
      <c r="H111" s="121">
        <f>SUM(I109:$AB$109)/H108</f>
        <v>19288.0855260016</v>
      </c>
      <c r="I111" s="121">
        <f>SUM(J109:$AB$109)/I108</f>
        <v>20942.520004498532</v>
      </c>
      <c r="J111" s="121">
        <f>SUM(K109:$AB$109)/J108</f>
        <v>22540.244896151176</v>
      </c>
      <c r="K111" s="121">
        <f>SUM(L109:$AB$109)/K108</f>
        <v>24079.157048689922</v>
      </c>
      <c r="L111" s="121">
        <f>SUM(M109:$AB$109)/L108</f>
        <v>25535.015439556999</v>
      </c>
      <c r="M111" s="121">
        <f>SUM(N109:$AB$109)/M108</f>
        <v>26883.78911808585</v>
      </c>
      <c r="N111" s="121">
        <f>SUM(O109:$AB$109)/N108</f>
        <v>28118.796816603604</v>
      </c>
      <c r="O111" s="121">
        <f>SUM(P109:$AB$109)/O108</f>
        <v>29232.344101331702</v>
      </c>
      <c r="P111" s="121">
        <f>SUM(Q109:$AB$109)/P108</f>
        <v>30186.654141648462</v>
      </c>
      <c r="Q111" s="121">
        <f>SUM(R109:$AB$109)/Q108</f>
        <v>30951.388575669596</v>
      </c>
      <c r="R111" s="121">
        <f>SUM(S109:$AB$109)/R108</f>
        <v>31511.141735189874</v>
      </c>
      <c r="S111" s="121">
        <f>SUM(T109:$AB$109)/S108</f>
        <v>31848.743596226475</v>
      </c>
      <c r="T111" s="121">
        <f>SUM(U109:$AB$109)/T108</f>
        <v>32116.717283560607</v>
      </c>
      <c r="U111" s="121">
        <f>SUM(V109:$AB$109)/U108</f>
        <v>32489.582290199771</v>
      </c>
      <c r="V111" s="121">
        <f>SUM(W109:$AB$109)/V108</f>
        <v>32920.812252088392</v>
      </c>
      <c r="W111" s="121">
        <f>SUM(X109:$AB$109)/W108</f>
        <v>33340.86466866175</v>
      </c>
      <c r="X111" s="121">
        <f>SUM(Y109:$AB$109)/X108</f>
        <v>33754.666238098696</v>
      </c>
      <c r="Y111" s="121">
        <f>SUM(Z109:$AB$109)/Y108</f>
        <v>34144.325429634926</v>
      </c>
      <c r="Z111" s="121">
        <f>SUM(AA109:$AB$109)/Z108</f>
        <v>34517.623178691319</v>
      </c>
      <c r="AA111" s="121">
        <f>SUM(AB109:$AB$109)/AA108</f>
        <v>34877.76748587656</v>
      </c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</row>
    <row r="112" spans="1:47">
      <c r="A112" s="122"/>
      <c r="B112" s="123"/>
      <c r="D112" s="116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13"/>
      <c r="AC112" s="113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3"/>
      <c r="AO112" s="113"/>
      <c r="AP112" s="113"/>
      <c r="AQ112" s="113"/>
      <c r="AR112" s="113"/>
      <c r="AS112" s="113"/>
      <c r="AT112" s="113"/>
      <c r="AU112" s="113"/>
    </row>
    <row r="113" spans="1:39">
      <c r="A113" s="106" t="s">
        <v>297</v>
      </c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</row>
    <row r="114" spans="1:39">
      <c r="A114" s="38" t="s">
        <v>298</v>
      </c>
      <c r="B114" s="75">
        <f>B115+B116</f>
        <v>11894.258183279886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</row>
    <row r="115" spans="1:39" s="118" customFormat="1" ht="23.25" customHeight="1">
      <c r="A115" s="125" t="s">
        <v>299</v>
      </c>
      <c r="B115" s="118">
        <f>SUM(D109:AA109)</f>
        <v>2751.2607034622588</v>
      </c>
    </row>
    <row r="116" spans="1:39" s="118" customFormat="1">
      <c r="A116" s="125" t="s">
        <v>300</v>
      </c>
      <c r="B116" s="118">
        <f>AB109</f>
        <v>9142.9974798176263</v>
      </c>
      <c r="D116" s="126"/>
      <c r="E116" s="126"/>
      <c r="F116" s="126"/>
      <c r="G116" s="126"/>
    </row>
    <row r="117" spans="1:39" s="118" customFormat="1" ht="23.25" customHeight="1">
      <c r="A117" s="125"/>
      <c r="D117" s="126"/>
      <c r="E117" s="126"/>
      <c r="G117" s="126"/>
    </row>
    <row r="118" spans="1:39" ht="23.25" customHeight="1">
      <c r="A118" s="38" t="s">
        <v>301</v>
      </c>
      <c r="B118" s="127">
        <f>(1+IRR(D102:AB102))^(1/$D$6)-1</f>
        <v>0.55878119715903862</v>
      </c>
      <c r="C118" s="47"/>
      <c r="D118" s="69"/>
      <c r="E118" s="69"/>
      <c r="F118" s="69"/>
      <c r="G118" s="69"/>
      <c r="H118" s="47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</row>
    <row r="119" spans="1:39" s="118" customFormat="1">
      <c r="A119" s="125"/>
    </row>
    <row r="120" spans="1:39" ht="23.25" customHeight="1">
      <c r="A120" s="38" t="s">
        <v>302</v>
      </c>
      <c r="B120" s="128">
        <f>SUM(D123:AA123)/4</f>
        <v>3.8737661260256919</v>
      </c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</row>
    <row r="121" spans="1:39" s="118" customFormat="1">
      <c r="A121" s="125" t="s">
        <v>290</v>
      </c>
      <c r="D121" s="118">
        <f t="shared" ref="D121:O121" si="172">D102</f>
        <v>0</v>
      </c>
      <c r="E121" s="118">
        <f t="shared" si="172"/>
        <v>-397.93492053183195</v>
      </c>
      <c r="F121" s="118">
        <f t="shared" si="172"/>
        <v>-1132.7909582415843</v>
      </c>
      <c r="G121" s="118">
        <f t="shared" si="172"/>
        <v>-1191.6972483212421</v>
      </c>
      <c r="H121" s="118">
        <f t="shared" si="172"/>
        <v>-570.28228873631406</v>
      </c>
      <c r="I121" s="118">
        <f t="shared" si="172"/>
        <v>-547.85264252056675</v>
      </c>
      <c r="J121" s="118">
        <f t="shared" si="172"/>
        <v>-396.22605936527231</v>
      </c>
      <c r="K121" s="118">
        <f t="shared" si="172"/>
        <v>-245.74982458682859</v>
      </c>
      <c r="L121" s="118">
        <f t="shared" si="172"/>
        <v>-74.406728399964521</v>
      </c>
      <c r="M121" s="118">
        <f t="shared" si="172"/>
        <v>116.20241921284565</v>
      </c>
      <c r="N121" s="118">
        <f t="shared" si="172"/>
        <v>307.34924925651956</v>
      </c>
      <c r="O121" s="118">
        <f t="shared" si="172"/>
        <v>499.66361506896487</v>
      </c>
      <c r="P121" s="118">
        <f t="shared" ref="P121:W121" si="173">P102</f>
        <v>722.78647410596068</v>
      </c>
      <c r="Q121" s="118">
        <f t="shared" si="173"/>
        <v>967.11205312857567</v>
      </c>
      <c r="R121" s="118">
        <f t="shared" si="173"/>
        <v>1215.9671083057326</v>
      </c>
      <c r="S121" s="118">
        <f t="shared" si="173"/>
        <v>1470.232152765924</v>
      </c>
      <c r="T121" s="118">
        <f t="shared" si="173"/>
        <v>1559.2289717759622</v>
      </c>
      <c r="U121" s="118">
        <f t="shared" si="173"/>
        <v>1469.7116414821121</v>
      </c>
      <c r="V121" s="118">
        <f t="shared" si="173"/>
        <v>1432.7384227563141</v>
      </c>
      <c r="W121" s="118">
        <f t="shared" si="173"/>
        <v>1468.6561758185551</v>
      </c>
      <c r="X121" s="118">
        <f t="shared" ref="X121:AA121" si="174">X102</f>
        <v>1499.0059608050394</v>
      </c>
      <c r="Y121" s="118">
        <f t="shared" si="174"/>
        <v>1546.8886575580541</v>
      </c>
      <c r="Z121" s="118">
        <f t="shared" si="174"/>
        <v>1585.6053401675326</v>
      </c>
      <c r="AA121" s="118">
        <f t="shared" si="174"/>
        <v>1620.175345541586</v>
      </c>
    </row>
    <row r="122" spans="1:39" s="118" customFormat="1">
      <c r="A122" s="125" t="s">
        <v>303</v>
      </c>
      <c r="D122" s="118">
        <f>SUM($D121:D$121)</f>
        <v>0</v>
      </c>
      <c r="E122" s="118">
        <f>SUM($D121:E$121)</f>
        <v>-397.93492053183195</v>
      </c>
      <c r="F122" s="118">
        <f>SUM($D121:F$121)</f>
        <v>-1530.7258787734163</v>
      </c>
      <c r="G122" s="118">
        <f>SUM($D121:G$121)</f>
        <v>-2722.4231270946584</v>
      </c>
      <c r="H122" s="118">
        <f>SUM($D121:H$121)</f>
        <v>-3292.7054158309725</v>
      </c>
      <c r="I122" s="118">
        <f>SUM($D121:I$121)</f>
        <v>-3840.5580583515393</v>
      </c>
      <c r="J122" s="118">
        <f>SUM($D121:J$121)</f>
        <v>-4236.784117716812</v>
      </c>
      <c r="K122" s="118">
        <f>SUM($D121:K$121)</f>
        <v>-4482.5339423036403</v>
      </c>
      <c r="L122" s="118">
        <f>SUM($D121:L$121)</f>
        <v>-4556.9406707036051</v>
      </c>
      <c r="M122" s="118">
        <f>SUM($D121:M$121)</f>
        <v>-4440.7382514907595</v>
      </c>
      <c r="N122" s="118">
        <f>SUM($D121:N$121)</f>
        <v>-4133.3890022342403</v>
      </c>
      <c r="O122" s="118">
        <f>SUM($D121:O$121)</f>
        <v>-3633.7253871652756</v>
      </c>
      <c r="P122" s="118">
        <f>SUM($D121:P$121)</f>
        <v>-2910.9389130593149</v>
      </c>
      <c r="Q122" s="118">
        <f>SUM($D121:Q$121)</f>
        <v>-1943.8268599307394</v>
      </c>
      <c r="R122" s="118">
        <f>SUM($D121:R$121)</f>
        <v>-727.85975162500677</v>
      </c>
      <c r="S122" s="118">
        <f>SUM($D121:S$121)</f>
        <v>742.37240114091719</v>
      </c>
      <c r="T122" s="118">
        <f>SUM($D121:T$121)</f>
        <v>2301.6013729168794</v>
      </c>
      <c r="U122" s="118">
        <f>SUM($D121:U$121)</f>
        <v>3771.3130143989915</v>
      </c>
      <c r="V122" s="118">
        <f>SUM($D121:V$121)</f>
        <v>5204.0514371553054</v>
      </c>
      <c r="W122" s="118">
        <f>SUM($D121:W$121)</f>
        <v>6672.7076129738607</v>
      </c>
      <c r="X122" s="118">
        <f>SUM($D121:X$121)</f>
        <v>8171.7135737789004</v>
      </c>
      <c r="Y122" s="118">
        <f>SUM($D121:Y$121)</f>
        <v>9718.602231336954</v>
      </c>
      <c r="Z122" s="118">
        <f>SUM($D121:Z$121)</f>
        <v>11304.207571504487</v>
      </c>
      <c r="AA122" s="118">
        <f>SUM($D121:AA$121)</f>
        <v>12924.382917046072</v>
      </c>
    </row>
    <row r="123" spans="1:39" s="118" customFormat="1" ht="23.25" customHeight="1">
      <c r="A123" s="125"/>
      <c r="D123" s="118">
        <f>IF(D122&lt;1,1,IF(C122&lt;0,1-D122/D121,))</f>
        <v>1</v>
      </c>
      <c r="E123" s="118">
        <f>IF(E122&lt;1,1,IF(D122&lt;0,1-E122/E121,))</f>
        <v>1</v>
      </c>
      <c r="F123" s="118">
        <f t="shared" ref="F123:O123" si="175">IF(F122&lt;1,1,IF(E122&lt;0,1-F122/F121,))</f>
        <v>1</v>
      </c>
      <c r="G123" s="118">
        <f t="shared" si="175"/>
        <v>1</v>
      </c>
      <c r="H123" s="118">
        <f t="shared" si="175"/>
        <v>1</v>
      </c>
      <c r="I123" s="118">
        <f t="shared" si="175"/>
        <v>1</v>
      </c>
      <c r="J123" s="118">
        <f t="shared" si="175"/>
        <v>1</v>
      </c>
      <c r="K123" s="118">
        <f t="shared" si="175"/>
        <v>1</v>
      </c>
      <c r="L123" s="118">
        <f t="shared" si="175"/>
        <v>1</v>
      </c>
      <c r="M123" s="118">
        <f t="shared" si="175"/>
        <v>1</v>
      </c>
      <c r="N123" s="118">
        <f t="shared" si="175"/>
        <v>1</v>
      </c>
      <c r="O123" s="118">
        <f t="shared" si="175"/>
        <v>1</v>
      </c>
      <c r="P123" s="118">
        <f t="shared" ref="P123:AA123" si="176">IF(P122&lt;1,1,IF(O122&lt;0,1-P122/P121,))</f>
        <v>1</v>
      </c>
      <c r="Q123" s="118">
        <f t="shared" si="176"/>
        <v>1</v>
      </c>
      <c r="R123" s="118">
        <f t="shared" si="176"/>
        <v>1</v>
      </c>
      <c r="S123" s="118">
        <f t="shared" si="176"/>
        <v>0.4950645041027677</v>
      </c>
      <c r="T123" s="118">
        <f t="shared" si="176"/>
        <v>0</v>
      </c>
      <c r="U123" s="118">
        <f t="shared" si="176"/>
        <v>0</v>
      </c>
      <c r="V123" s="118">
        <f t="shared" si="176"/>
        <v>0</v>
      </c>
      <c r="W123" s="118">
        <f t="shared" si="176"/>
        <v>0</v>
      </c>
      <c r="X123" s="118">
        <f t="shared" si="176"/>
        <v>0</v>
      </c>
      <c r="Y123" s="118">
        <f t="shared" si="176"/>
        <v>0</v>
      </c>
      <c r="Z123" s="118">
        <f t="shared" si="176"/>
        <v>0</v>
      </c>
      <c r="AA123" s="118">
        <f t="shared" si="176"/>
        <v>0</v>
      </c>
    </row>
    <row r="124" spans="1:39" ht="23.25" customHeight="1">
      <c r="A124" s="38" t="s">
        <v>304</v>
      </c>
      <c r="B124" s="128">
        <f>SUM(D127:AA127)/4</f>
        <v>4.5043008316042066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</row>
    <row r="125" spans="1:39" s="118" customFormat="1" ht="24" customHeight="1">
      <c r="A125" s="125" t="s">
        <v>305</v>
      </c>
      <c r="D125" s="118">
        <f t="shared" ref="D125:N125" si="177">D109</f>
        <v>0</v>
      </c>
      <c r="E125" s="118">
        <f t="shared" si="177"/>
        <v>-355.92381317206122</v>
      </c>
      <c r="F125" s="118">
        <f t="shared" si="177"/>
        <v>-958.22448538396122</v>
      </c>
      <c r="G125" s="118">
        <f t="shared" si="177"/>
        <v>-953.35779865699374</v>
      </c>
      <c r="H125" s="118">
        <f t="shared" si="177"/>
        <v>-431.47175146839629</v>
      </c>
      <c r="I125" s="118">
        <f t="shared" si="177"/>
        <v>-392.01144010524132</v>
      </c>
      <c r="J125" s="118">
        <f t="shared" si="177"/>
        <v>-268.13315135944578</v>
      </c>
      <c r="K125" s="118">
        <f t="shared" si="177"/>
        <v>-157.27988773557033</v>
      </c>
      <c r="L125" s="118">
        <f t="shared" si="177"/>
        <v>-45.036504984092645</v>
      </c>
      <c r="M125" s="118">
        <f t="shared" si="177"/>
        <v>66.518146178521732</v>
      </c>
      <c r="N125" s="118">
        <f t="shared" si="177"/>
        <v>166.39091916998399</v>
      </c>
      <c r="O125" s="118">
        <f>O109</f>
        <v>255.82777091531003</v>
      </c>
      <c r="P125" s="118">
        <f t="shared" ref="P125:W125" si="178">P109</f>
        <v>349.9874524091922</v>
      </c>
      <c r="Q125" s="118">
        <f t="shared" si="178"/>
        <v>442.88579433572011</v>
      </c>
      <c r="R125" s="118">
        <f t="shared" si="178"/>
        <v>526.6344663496302</v>
      </c>
      <c r="S125" s="118">
        <f t="shared" si="178"/>
        <v>602.20708977292247</v>
      </c>
      <c r="T125" s="118">
        <f t="shared" si="178"/>
        <v>604.0075127077954</v>
      </c>
      <c r="U125" s="118">
        <f t="shared" si="178"/>
        <v>538.43970255696729</v>
      </c>
      <c r="V125" s="118">
        <f t="shared" si="178"/>
        <v>496.4143714302968</v>
      </c>
      <c r="W125" s="118">
        <f t="shared" si="178"/>
        <v>481.24925569222415</v>
      </c>
      <c r="X125" s="118">
        <f t="shared" ref="X125:AA125" si="179">X109</f>
        <v>464.5428623039233</v>
      </c>
      <c r="Y125" s="118">
        <f t="shared" si="179"/>
        <v>453.37125741175811</v>
      </c>
      <c r="Z125" s="118">
        <f t="shared" si="179"/>
        <v>439.50368931212159</v>
      </c>
      <c r="AA125" s="118">
        <f t="shared" si="179"/>
        <v>424.71924578165357</v>
      </c>
    </row>
    <row r="126" spans="1:39" s="118" customFormat="1">
      <c r="A126" s="125" t="s">
        <v>306</v>
      </c>
      <c r="D126" s="118">
        <f>SUM($D125:D$125)</f>
        <v>0</v>
      </c>
      <c r="E126" s="118">
        <f>SUM($D125:E$125)</f>
        <v>-355.92381317206122</v>
      </c>
      <c r="F126" s="118">
        <f>SUM($D125:F$125)</f>
        <v>-1314.1482985560224</v>
      </c>
      <c r="G126" s="118">
        <f>SUM($D125:G$125)</f>
        <v>-2267.5060972130159</v>
      </c>
      <c r="H126" s="118">
        <f>SUM($D125:H$125)</f>
        <v>-2698.9778486814121</v>
      </c>
      <c r="I126" s="118">
        <f>SUM($D125:I$125)</f>
        <v>-3090.9892887866536</v>
      </c>
      <c r="J126" s="118">
        <f>SUM($D125:J$125)</f>
        <v>-3359.1224401460995</v>
      </c>
      <c r="K126" s="118">
        <f>SUM($D125:K$125)</f>
        <v>-3516.4023278816699</v>
      </c>
      <c r="L126" s="118">
        <f>SUM($D125:L$125)</f>
        <v>-3561.4388328657624</v>
      </c>
      <c r="M126" s="118">
        <f>SUM($D125:M$125)</f>
        <v>-3494.9206866872405</v>
      </c>
      <c r="N126" s="118">
        <f>SUM($D125:N$125)</f>
        <v>-3328.5297675172565</v>
      </c>
      <c r="O126" s="118">
        <f>SUM($D125:O$125)</f>
        <v>-3072.7019966019466</v>
      </c>
      <c r="P126" s="118">
        <f>SUM($D125:P$125)</f>
        <v>-2722.7145441927541</v>
      </c>
      <c r="Q126" s="118">
        <f>SUM($D125:Q$125)</f>
        <v>-2279.8287498570339</v>
      </c>
      <c r="R126" s="118">
        <f>SUM($D125:R$125)</f>
        <v>-1753.1942835074037</v>
      </c>
      <c r="S126" s="118">
        <f>SUM($D125:S$125)</f>
        <v>-1150.9871937344813</v>
      </c>
      <c r="T126" s="118">
        <f>SUM($D125:T$125)</f>
        <v>-546.97968102668585</v>
      </c>
      <c r="U126" s="118">
        <f>SUM($D125:U$125)</f>
        <v>-8.5399784697185623</v>
      </c>
      <c r="V126" s="118">
        <f>SUM($D125:V$125)</f>
        <v>487.87439296057823</v>
      </c>
      <c r="W126" s="118">
        <f>SUM($D125:W$125)</f>
        <v>969.12364865280233</v>
      </c>
      <c r="X126" s="118">
        <f>SUM($D125:X$125)</f>
        <v>1433.6665109567257</v>
      </c>
      <c r="Y126" s="118">
        <f>SUM($D125:Y$125)</f>
        <v>1887.0377683684837</v>
      </c>
      <c r="Z126" s="118">
        <f>SUM($D125:Z$125)</f>
        <v>2326.5414576806052</v>
      </c>
      <c r="AA126" s="118">
        <f>SUM($D125:AA$125)</f>
        <v>2751.2607034622588</v>
      </c>
    </row>
    <row r="127" spans="1:39" s="118" customFormat="1">
      <c r="A127" s="125"/>
      <c r="D127" s="118">
        <f>IF(D126&lt;1,1,IF(C126&lt;0,1-D126/D125,))</f>
        <v>1</v>
      </c>
      <c r="E127" s="118">
        <f>IF(E126&lt;1,1,IF(D126&lt;0,1-E126/E125,))</f>
        <v>1</v>
      </c>
      <c r="F127" s="118">
        <f t="shared" ref="F127:O127" si="180">IF(F126&lt;1,1,IF(E126&lt;0,1-F126/F125,))</f>
        <v>1</v>
      </c>
      <c r="G127" s="118">
        <f t="shared" si="180"/>
        <v>1</v>
      </c>
      <c r="H127" s="118">
        <f t="shared" si="180"/>
        <v>1</v>
      </c>
      <c r="I127" s="118">
        <f t="shared" si="180"/>
        <v>1</v>
      </c>
      <c r="J127" s="118">
        <f t="shared" si="180"/>
        <v>1</v>
      </c>
      <c r="K127" s="118">
        <f t="shared" si="180"/>
        <v>1</v>
      </c>
      <c r="L127" s="118">
        <f t="shared" si="180"/>
        <v>1</v>
      </c>
      <c r="M127" s="118">
        <f t="shared" si="180"/>
        <v>1</v>
      </c>
      <c r="N127" s="118">
        <f t="shared" si="180"/>
        <v>1</v>
      </c>
      <c r="O127" s="118">
        <f t="shared" si="180"/>
        <v>1</v>
      </c>
      <c r="P127" s="118">
        <f t="shared" ref="P127:AA127" si="181">IF(P126&lt;1,1,IF(O126&lt;0,1-P126/P125,))</f>
        <v>1</v>
      </c>
      <c r="Q127" s="118">
        <f t="shared" si="181"/>
        <v>1</v>
      </c>
      <c r="R127" s="118">
        <f t="shared" si="181"/>
        <v>1</v>
      </c>
      <c r="S127" s="118">
        <f t="shared" si="181"/>
        <v>1</v>
      </c>
      <c r="T127" s="118">
        <f t="shared" si="181"/>
        <v>1</v>
      </c>
      <c r="U127" s="118">
        <f t="shared" si="181"/>
        <v>1</v>
      </c>
      <c r="V127" s="118">
        <f t="shared" si="181"/>
        <v>1.7203326416825315E-2</v>
      </c>
      <c r="W127" s="118">
        <f t="shared" si="181"/>
        <v>0</v>
      </c>
      <c r="X127" s="118">
        <f t="shared" si="181"/>
        <v>0</v>
      </c>
      <c r="Y127" s="118">
        <f t="shared" si="181"/>
        <v>0</v>
      </c>
      <c r="Z127" s="118">
        <f t="shared" si="181"/>
        <v>0</v>
      </c>
      <c r="AA127" s="118">
        <f t="shared" si="181"/>
        <v>0</v>
      </c>
    </row>
    <row r="128" spans="1:39" s="118" customFormat="1">
      <c r="A128" s="125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</row>
    <row r="129" spans="1:27" s="118" customFormat="1">
      <c r="A129" s="38" t="s">
        <v>307</v>
      </c>
      <c r="B129" s="128"/>
      <c r="C129" s="80"/>
      <c r="D129" s="80">
        <f t="shared" ref="D129:L129" si="182">D111/SUM(D43:G43)</f>
        <v>289.2725309925404</v>
      </c>
      <c r="E129" s="80">
        <f t="shared" si="182"/>
        <v>16.625363255730672</v>
      </c>
      <c r="F129" s="80">
        <f t="shared" si="182"/>
        <v>8.3300324581180991</v>
      </c>
      <c r="G129" s="80">
        <f t="shared" si="182"/>
        <v>5.5888178954837882</v>
      </c>
      <c r="H129" s="80">
        <f t="shared" si="182"/>
        <v>4.0136919691734008</v>
      </c>
      <c r="I129" s="80">
        <f t="shared" si="182"/>
        <v>3.4989898753028585</v>
      </c>
      <c r="J129" s="80">
        <f t="shared" si="182"/>
        <v>3.1153391532972181</v>
      </c>
      <c r="K129" s="80">
        <f t="shared" si="182"/>
        <v>2.8131340803421194</v>
      </c>
      <c r="L129" s="80">
        <f t="shared" si="182"/>
        <v>2.563092203263587</v>
      </c>
      <c r="M129" s="80">
        <f>M111/SUM(M43:P43)</f>
        <v>2.3460691901233219</v>
      </c>
      <c r="N129" s="80">
        <f>N111/SUM(N43:Q43)</f>
        <v>2.1536926988372462</v>
      </c>
      <c r="O129" s="80">
        <f>O111/SUM(O43:R43)</f>
        <v>1.980363130807955</v>
      </c>
      <c r="P129" s="80">
        <f>P111/SUM(P43:S43)</f>
        <v>1.8204363920310846</v>
      </c>
      <c r="Q129" s="80">
        <f>Q111/SUM(Q43:T43)</f>
        <v>1.6801886964545512</v>
      </c>
      <c r="R129" s="80"/>
      <c r="S129" s="80"/>
      <c r="T129" s="80"/>
      <c r="U129" s="80"/>
      <c r="V129" s="80"/>
      <c r="W129" s="80"/>
      <c r="X129" s="80"/>
      <c r="Y129" s="80"/>
      <c r="Z129" s="80"/>
      <c r="AA129" s="80"/>
    </row>
    <row r="130" spans="1:27" s="118" customFormat="1">
      <c r="A130" s="38" t="s">
        <v>308</v>
      </c>
      <c r="B130" s="128"/>
      <c r="C130" s="80"/>
      <c r="D130" s="80">
        <f t="shared" ref="D130:L130" si="183">D111/SUM(D50:G50)</f>
        <v>-3.6179469247998619</v>
      </c>
      <c r="E130" s="80">
        <f t="shared" si="183"/>
        <v>-3.2421323821059689</v>
      </c>
      <c r="F130" s="80">
        <f t="shared" si="183"/>
        <v>-4.2436684107806748</v>
      </c>
      <c r="G130" s="80">
        <f t="shared" si="183"/>
        <v>-5.9223260031477407</v>
      </c>
      <c r="H130" s="80">
        <f t="shared" si="183"/>
        <v>-9.0189579703029832</v>
      </c>
      <c r="I130" s="80">
        <f t="shared" si="183"/>
        <v>-13.718371686920362</v>
      </c>
      <c r="J130" s="80">
        <f t="shared" si="183"/>
        <v>-25.667870545987533</v>
      </c>
      <c r="K130" s="80">
        <f t="shared" si="183"/>
        <v>-126.00419893502112</v>
      </c>
      <c r="L130" s="80">
        <f t="shared" si="183"/>
        <v>47.567006428817471</v>
      </c>
      <c r="M130" s="80">
        <f>M111/SUM(M50:P50)</f>
        <v>20.471461818702497</v>
      </c>
      <c r="N130" s="80">
        <f>N111/SUM(N50:Q50)</f>
        <v>13.128620502048477</v>
      </c>
      <c r="O130" s="80">
        <f>O111/SUM(O50:R50)</f>
        <v>9.6591204123197496</v>
      </c>
      <c r="P130" s="80">
        <f>P111/SUM(P50:S50)</f>
        <v>7.6014251276339735</v>
      </c>
      <c r="Q130" s="80">
        <f>Q111/SUM(Q50:T50)</f>
        <v>6.2836636335868095</v>
      </c>
      <c r="R130" s="80"/>
      <c r="S130" s="80"/>
      <c r="T130" s="80"/>
      <c r="U130" s="80"/>
      <c r="V130" s="80"/>
      <c r="W130" s="80"/>
      <c r="X130" s="80"/>
      <c r="Y130" s="80"/>
      <c r="Z130" s="80"/>
      <c r="AA130" s="80"/>
    </row>
    <row r="131" spans="1:27" s="118" customFormat="1">
      <c r="A131" s="125"/>
      <c r="P131" s="125"/>
    </row>
    <row r="132" spans="1:27" s="118" customFormat="1">
      <c r="A132" s="38" t="s">
        <v>309</v>
      </c>
      <c r="B132" s="130">
        <f>(1+IRR(D135:Q135))^(1/$D$6)-1</f>
        <v>0.47653352172288943</v>
      </c>
    </row>
    <row r="133" spans="1:27" s="118" customFormat="1">
      <c r="A133" s="38" t="s">
        <v>310</v>
      </c>
      <c r="B133" s="131" t="str">
        <f>CONCATENATE(ROUND(Q135/-SUM(D135:P135),1),"х")</f>
        <v>2,9х</v>
      </c>
    </row>
    <row r="134" spans="1:27" s="118" customFormat="1">
      <c r="A134" s="38"/>
      <c r="B134" s="130"/>
    </row>
    <row r="135" spans="1:27">
      <c r="A135" s="125" t="s">
        <v>311</v>
      </c>
      <c r="B135" s="118"/>
      <c r="C135" s="118"/>
      <c r="D135" s="118">
        <f>-Инвестиции!D$69</f>
        <v>0</v>
      </c>
      <c r="E135" s="118">
        <f>-Инвестиции!E$69</f>
        <v>-866.9951379286382</v>
      </c>
      <c r="F135" s="118">
        <f>-Инвестиции!F$69</f>
        <v>-906.7978913371262</v>
      </c>
      <c r="G135" s="118">
        <f>-Инвестиции!G$69</f>
        <v>-867.76973582193591</v>
      </c>
      <c r="H135" s="118">
        <f>-Инвестиции!H$69</f>
        <v>0</v>
      </c>
      <c r="I135" s="118">
        <f>-Инвестиции!I$69</f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18">
        <v>0</v>
      </c>
      <c r="Q135" s="118">
        <f>Q$111*Предположения!$C$90</f>
        <v>7737.8471439173991</v>
      </c>
    </row>
    <row r="136" spans="1:27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27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1:27">
      <c r="A138" s="118"/>
      <c r="B138" s="118"/>
      <c r="C138" s="118"/>
      <c r="D138" s="118"/>
      <c r="F138" s="118"/>
      <c r="G138" s="118"/>
      <c r="H138" s="118"/>
      <c r="I138" s="118"/>
      <c r="J138" s="118"/>
      <c r="K138" s="118"/>
      <c r="L138" s="118"/>
    </row>
    <row r="139" spans="1:27">
      <c r="A139" s="118"/>
      <c r="B139" s="118"/>
      <c r="C139" s="118"/>
      <c r="D139" s="118"/>
      <c r="E139" s="118"/>
    </row>
    <row r="140" spans="1:27">
      <c r="A140" s="118"/>
      <c r="B140" s="118"/>
      <c r="C140" s="118"/>
      <c r="D140" s="118"/>
      <c r="E140" s="118"/>
      <c r="L140" s="118"/>
      <c r="M140" s="118"/>
      <c r="N140" s="118"/>
    </row>
    <row r="141" spans="1:27">
      <c r="A141" s="118"/>
      <c r="B141" s="118"/>
      <c r="C141" s="118"/>
      <c r="D141" s="118"/>
      <c r="E141" s="118"/>
      <c r="L141" s="118"/>
      <c r="M141" s="118"/>
    </row>
    <row r="142" spans="1:27">
      <c r="A142" s="118"/>
      <c r="B142" s="118"/>
      <c r="C142" s="118"/>
      <c r="D142" s="118"/>
      <c r="E142" s="118"/>
      <c r="F142" s="118"/>
      <c r="G142" s="118"/>
      <c r="H142" s="118"/>
    </row>
    <row r="143" spans="1:27">
      <c r="A143" s="118"/>
      <c r="B143" s="118"/>
      <c r="C143" s="118"/>
      <c r="D143" s="118"/>
      <c r="E143" s="118"/>
      <c r="F143" s="118"/>
      <c r="G143" s="118"/>
    </row>
    <row r="144" spans="1:27">
      <c r="A144" s="118"/>
      <c r="B144" s="118"/>
      <c r="C144" s="118"/>
      <c r="D144" s="118"/>
      <c r="E144" s="118"/>
      <c r="F144" s="118"/>
    </row>
    <row r="147" spans="6:12">
      <c r="F147" s="39"/>
      <c r="G147" s="39"/>
      <c r="H147" s="39"/>
      <c r="I147" s="39"/>
      <c r="J147" s="39"/>
      <c r="K147" s="39"/>
      <c r="L147" s="39"/>
    </row>
    <row r="165" spans="5:5" s="40" customFormat="1">
      <c r="E165" s="80"/>
    </row>
  </sheetData>
  <conditionalFormatting sqref="D39:AA39 D41:AA41 AC39:AH39 AC41:AH41">
    <cfRule type="cellIs" dxfId="6" priority="9" operator="notEqual">
      <formula>0</formula>
    </cfRule>
  </conditionalFormatting>
  <pageMargins left="0.7" right="0.7" top="0.75" bottom="0.75" header="0.3" footer="0.3"/>
  <pageSetup paperSize="9" orientation="portrait"/>
  <cellWatches>
    <cellWatch r="B114"/>
    <cellWatch r="C114"/>
  </cellWatch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2:S60"/>
  <sheetViews>
    <sheetView workbookViewId="0">
      <pane xSplit="3" ySplit="6" topLeftCell="D7" activePane="bottomRight" state="frozen"/>
      <selection activeCell="I32" sqref="I32"/>
      <selection pane="topRight"/>
      <selection pane="bottomLeft"/>
      <selection pane="bottomRight" activeCell="D7" sqref="D7"/>
    </sheetView>
  </sheetViews>
  <sheetFormatPr defaultColWidth="9.109375" defaultRowHeight="13.2"/>
  <cols>
    <col min="1" max="1" width="5.6640625" style="59" bestFit="1" customWidth="1"/>
    <col min="2" max="2" width="40.44140625" style="59" customWidth="1"/>
    <col min="3" max="3" width="8.5546875" style="132" customWidth="1"/>
    <col min="4" max="4" width="2.88671875" style="59" customWidth="1"/>
    <col min="5" max="16" width="7.109375" style="59" customWidth="1"/>
    <col min="17" max="17" width="20" style="133" customWidth="1"/>
    <col min="18" max="16384" width="9.109375" style="59"/>
  </cols>
  <sheetData>
    <row r="2" spans="1:17" ht="17.399999999999999">
      <c r="A2" s="134"/>
      <c r="B2" s="135" t="s">
        <v>312</v>
      </c>
      <c r="C2" s="136"/>
      <c r="D2" s="134"/>
    </row>
    <row r="4" spans="1:17" ht="15.6">
      <c r="A4" s="134"/>
      <c r="B4" s="137" t="s">
        <v>313</v>
      </c>
      <c r="C4" s="138"/>
      <c r="D4" s="134"/>
    </row>
    <row r="5" spans="1:17" s="133" customFormat="1">
      <c r="B5" s="133" t="s">
        <v>314</v>
      </c>
      <c r="C5" s="139"/>
      <c r="E5" s="140">
        <v>1</v>
      </c>
      <c r="F5" s="140">
        <v>2</v>
      </c>
      <c r="G5" s="140">
        <v>3</v>
      </c>
      <c r="H5" s="140">
        <v>4</v>
      </c>
      <c r="I5" s="140">
        <v>5</v>
      </c>
      <c r="J5" s="140">
        <v>6</v>
      </c>
      <c r="K5" s="140">
        <v>7</v>
      </c>
      <c r="L5" s="140">
        <v>8</v>
      </c>
      <c r="M5" s="140">
        <v>9</v>
      </c>
      <c r="N5" s="140">
        <v>10</v>
      </c>
      <c r="O5" s="140">
        <v>11</v>
      </c>
      <c r="P5" s="140">
        <v>12</v>
      </c>
    </row>
    <row r="6" spans="1:17">
      <c r="A6" s="19"/>
      <c r="B6" s="19" t="s">
        <v>19</v>
      </c>
      <c r="C6" s="19" t="s">
        <v>20</v>
      </c>
      <c r="D6" s="19" t="s">
        <v>315</v>
      </c>
      <c r="E6" s="141" t="s">
        <v>316</v>
      </c>
      <c r="F6" s="141" t="s">
        <v>317</v>
      </c>
      <c r="G6" s="141" t="s">
        <v>318</v>
      </c>
      <c r="H6" s="141" t="s">
        <v>319</v>
      </c>
      <c r="I6" s="141" t="s">
        <v>320</v>
      </c>
      <c r="J6" s="141" t="s">
        <v>321</v>
      </c>
      <c r="K6" s="141" t="s">
        <v>322</v>
      </c>
      <c r="L6" s="141" t="s">
        <v>323</v>
      </c>
      <c r="M6" s="141" t="s">
        <v>324</v>
      </c>
      <c r="N6" s="141" t="s">
        <v>325</v>
      </c>
      <c r="O6" s="141" t="s">
        <v>326</v>
      </c>
      <c r="P6" s="141" t="s">
        <v>327</v>
      </c>
      <c r="Q6" s="142" t="s">
        <v>328</v>
      </c>
    </row>
    <row r="7" spans="1:17" s="143" customFormat="1" ht="13.8">
      <c r="A7" s="27"/>
      <c r="B7" s="27" t="s">
        <v>12</v>
      </c>
      <c r="C7" s="144"/>
      <c r="D7" s="27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1:17" s="143" customFormat="1" ht="13.8">
      <c r="A8" s="147"/>
      <c r="B8" s="147" t="s">
        <v>329</v>
      </c>
      <c r="C8" s="148"/>
      <c r="D8" s="147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>
      <c r="B9" s="150" t="s">
        <v>330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7" s="143" customFormat="1" ht="13.8">
      <c r="A10" s="147"/>
      <c r="B10" s="147" t="s">
        <v>331</v>
      </c>
      <c r="C10" s="148"/>
      <c r="D10" s="147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7">
      <c r="B11" s="150" t="s">
        <v>332</v>
      </c>
      <c r="E11" s="151">
        <v>1</v>
      </c>
      <c r="F11" s="151">
        <v>1</v>
      </c>
      <c r="G11" s="151">
        <v>1</v>
      </c>
      <c r="H11" s="151"/>
      <c r="I11" s="151"/>
      <c r="J11" s="151"/>
      <c r="K11" s="151"/>
      <c r="L11" s="151"/>
      <c r="M11" s="151"/>
      <c r="N11" s="151"/>
      <c r="O11" s="151"/>
      <c r="P11" s="151"/>
    </row>
    <row r="12" spans="1:17">
      <c r="B12" s="150" t="s">
        <v>333</v>
      </c>
      <c r="E12" s="151">
        <v>1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</row>
    <row r="13" spans="1:17" s="143" customFormat="1" ht="13.8">
      <c r="A13" s="147"/>
      <c r="B13" s="147" t="s">
        <v>8</v>
      </c>
      <c r="C13" s="148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9"/>
    </row>
    <row r="14" spans="1:17">
      <c r="B14" s="150" t="s">
        <v>334</v>
      </c>
      <c r="E14" s="151"/>
      <c r="F14" s="151"/>
      <c r="G14" s="151"/>
      <c r="H14" s="151"/>
      <c r="I14" s="151"/>
      <c r="J14" s="151"/>
      <c r="K14" s="151">
        <v>1</v>
      </c>
      <c r="L14" s="151">
        <v>1</v>
      </c>
      <c r="M14" s="151">
        <v>1</v>
      </c>
      <c r="N14" s="151">
        <v>1</v>
      </c>
      <c r="O14" s="151">
        <v>1</v>
      </c>
      <c r="P14" s="151">
        <v>1</v>
      </c>
    </row>
    <row r="15" spans="1:17">
      <c r="B15" s="150" t="s">
        <v>335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>
        <v>1</v>
      </c>
      <c r="O15" s="151">
        <v>1</v>
      </c>
      <c r="P15" s="151">
        <v>1</v>
      </c>
    </row>
    <row r="16" spans="1:17">
      <c r="B16" s="150" t="s">
        <v>336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>
        <v>1</v>
      </c>
      <c r="O16" s="151">
        <v>1</v>
      </c>
      <c r="P16" s="151">
        <v>1</v>
      </c>
    </row>
    <row r="17" spans="1:19" s="143" customFormat="1" ht="13.8">
      <c r="A17" s="147"/>
      <c r="B17" s="147" t="s">
        <v>337</v>
      </c>
      <c r="C17" s="148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9"/>
    </row>
    <row r="18" spans="1:19">
      <c r="B18" s="150" t="s">
        <v>338</v>
      </c>
      <c r="E18" s="151"/>
      <c r="F18" s="151"/>
      <c r="G18" s="151"/>
      <c r="H18" s="151"/>
      <c r="I18" s="151"/>
      <c r="J18" s="151"/>
      <c r="K18" s="151">
        <v>1</v>
      </c>
      <c r="L18" s="151">
        <v>1</v>
      </c>
      <c r="M18" s="151">
        <v>1</v>
      </c>
      <c r="N18" s="151">
        <v>1</v>
      </c>
      <c r="O18" s="151">
        <v>1</v>
      </c>
      <c r="P18" s="151">
        <v>1</v>
      </c>
    </row>
    <row r="19" spans="1:19">
      <c r="B19" s="150" t="s">
        <v>339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>
        <v>1</v>
      </c>
      <c r="O19" s="151">
        <v>1</v>
      </c>
      <c r="P19" s="151">
        <v>1</v>
      </c>
    </row>
    <row r="20" spans="1:19" s="143" customFormat="1" ht="13.8">
      <c r="A20" s="27"/>
      <c r="B20" s="27" t="s">
        <v>340</v>
      </c>
      <c r="C20" s="144" t="s">
        <v>96</v>
      </c>
      <c r="D20" s="27"/>
      <c r="E20" s="145" t="e">
        <f t="shared" ref="E20:P20" si="0">SUM(E21,E23,E26,E30,E33,E35)</f>
        <v>#REF!</v>
      </c>
      <c r="F20" s="145" t="e">
        <f t="shared" si="0"/>
        <v>#REF!</v>
      </c>
      <c r="G20" s="145" t="e">
        <f t="shared" si="0"/>
        <v>#REF!</v>
      </c>
      <c r="H20" s="145" t="e">
        <f t="shared" si="0"/>
        <v>#REF!</v>
      </c>
      <c r="I20" s="145" t="e">
        <f t="shared" si="0"/>
        <v>#REF!</v>
      </c>
      <c r="J20" s="145" t="e">
        <f t="shared" si="0"/>
        <v>#REF!</v>
      </c>
      <c r="K20" s="145" t="e">
        <f t="shared" si="0"/>
        <v>#REF!</v>
      </c>
      <c r="L20" s="145" t="e">
        <f t="shared" si="0"/>
        <v>#REF!</v>
      </c>
      <c r="M20" s="145" t="e">
        <f t="shared" si="0"/>
        <v>#REF!</v>
      </c>
      <c r="N20" s="145" t="e">
        <f t="shared" si="0"/>
        <v>#REF!</v>
      </c>
      <c r="O20" s="145" t="e">
        <f t="shared" si="0"/>
        <v>#REF!</v>
      </c>
      <c r="P20" s="145" t="e">
        <f t="shared" si="0"/>
        <v>#REF!</v>
      </c>
      <c r="Q20" s="152" t="e">
        <f t="shared" ref="Q20:Q40" si="1">SUM(E20:P20)</f>
        <v>#REF!</v>
      </c>
    </row>
    <row r="21" spans="1:19" s="143" customFormat="1" ht="13.8">
      <c r="A21" s="147"/>
      <c r="B21" s="147" t="s">
        <v>329</v>
      </c>
      <c r="C21" s="148" t="s">
        <v>96</v>
      </c>
      <c r="D21" s="147"/>
      <c r="E21" s="153">
        <f t="shared" ref="E21:P21" si="2">SUM(E22:E22)</f>
        <v>0</v>
      </c>
      <c r="F21" s="153">
        <f t="shared" si="2"/>
        <v>0</v>
      </c>
      <c r="G21" s="153">
        <f t="shared" si="2"/>
        <v>0</v>
      </c>
      <c r="H21" s="153">
        <f t="shared" si="2"/>
        <v>0</v>
      </c>
      <c r="I21" s="153">
        <f t="shared" si="2"/>
        <v>0</v>
      </c>
      <c r="J21" s="153">
        <f t="shared" si="2"/>
        <v>0</v>
      </c>
      <c r="K21" s="153">
        <f t="shared" si="2"/>
        <v>0</v>
      </c>
      <c r="L21" s="153">
        <f t="shared" si="2"/>
        <v>0</v>
      </c>
      <c r="M21" s="153">
        <f t="shared" si="2"/>
        <v>0</v>
      </c>
      <c r="N21" s="153">
        <f t="shared" si="2"/>
        <v>0</v>
      </c>
      <c r="O21" s="153">
        <f t="shared" si="2"/>
        <v>0</v>
      </c>
      <c r="P21" s="153">
        <f t="shared" si="2"/>
        <v>0</v>
      </c>
      <c r="Q21" s="154">
        <f t="shared" si="1"/>
        <v>0</v>
      </c>
      <c r="S21" s="155"/>
    </row>
    <row r="22" spans="1:19">
      <c r="B22" s="150" t="str">
        <f>B9</f>
        <v>Международное патентование</v>
      </c>
      <c r="C22" s="132" t="s">
        <v>96</v>
      </c>
      <c r="E22" s="156">
        <f>IF(SUM(E9:P9)&lt;&gt;0,E9/SUM($E9:$P9)*Инвестиции!#REF!,0)</f>
        <v>0</v>
      </c>
      <c r="F22" s="156">
        <f>IF(SUM(F9:Q9)&lt;&gt;0,F9/SUM($E9:$P9)*Инвестиции!#REF!,0)</f>
        <v>0</v>
      </c>
      <c r="G22" s="156">
        <f>IF(SUM(G9:R9)&lt;&gt;0,G9/SUM($E9:$P9)*Инвестиции!#REF!,0)</f>
        <v>0</v>
      </c>
      <c r="H22" s="156">
        <f>IF(SUM(H9:S9)&lt;&gt;0,H9/SUM($E9:$P9)*Инвестиции!#REF!,0)</f>
        <v>0</v>
      </c>
      <c r="I22" s="156">
        <f>IF(SUM(I9:T9)&lt;&gt;0,I9/SUM($E9:$P9)*Инвестиции!#REF!,0)</f>
        <v>0</v>
      </c>
      <c r="J22" s="156">
        <f>IF(SUM(J9:U9)&lt;&gt;0,J9/SUM($E9:$P9)*Инвестиции!#REF!,0)</f>
        <v>0</v>
      </c>
      <c r="K22" s="156">
        <f>IF(SUM(K9:V9)&lt;&gt;0,K9/SUM($E9:$P9)*Инвестиции!#REF!,0)</f>
        <v>0</v>
      </c>
      <c r="L22" s="156">
        <f>IF(SUM(L9:W9)&lt;&gt;0,L9/SUM($E9:$P9)*Инвестиции!#REF!,0)</f>
        <v>0</v>
      </c>
      <c r="M22" s="156">
        <f>IF(SUM(M9:X9)&lt;&gt;0,M9/SUM($E9:$P9)*Инвестиции!#REF!,0)</f>
        <v>0</v>
      </c>
      <c r="N22" s="156">
        <f>IF(SUM(N9:Y9)&lt;&gt;0,N9/SUM($E9:$P9)*Инвестиции!#REF!,0)</f>
        <v>0</v>
      </c>
      <c r="O22" s="156">
        <f>IF(SUM(O9:Z9)&lt;&gt;0,O9/SUM($E9:$P9)*Инвестиции!#REF!,0)</f>
        <v>0</v>
      </c>
      <c r="P22" s="156">
        <f>IF(SUM(P9:AA9)&lt;&gt;0,P9/SUM($E9:$P9)*Инвестиции!#REF!,0)</f>
        <v>0</v>
      </c>
      <c r="Q22" s="157">
        <f t="shared" si="1"/>
        <v>0</v>
      </c>
    </row>
    <row r="23" spans="1:19" s="143" customFormat="1" ht="27.6">
      <c r="A23" s="147"/>
      <c r="B23" s="158" t="s">
        <v>331</v>
      </c>
      <c r="C23" s="148" t="s">
        <v>96</v>
      </c>
      <c r="D23" s="147"/>
      <c r="E23" s="153" t="e">
        <f>SUM(E24:E25)</f>
        <v>#REF!</v>
      </c>
      <c r="F23" s="153" t="e">
        <f t="shared" ref="F23:P23" si="3">SUM(F24:F25)</f>
        <v>#REF!</v>
      </c>
      <c r="G23" s="153" t="e">
        <f t="shared" si="3"/>
        <v>#REF!</v>
      </c>
      <c r="H23" s="153" t="e">
        <f t="shared" si="3"/>
        <v>#REF!</v>
      </c>
      <c r="I23" s="153" t="e">
        <f t="shared" si="3"/>
        <v>#REF!</v>
      </c>
      <c r="J23" s="153" t="e">
        <f t="shared" si="3"/>
        <v>#REF!</v>
      </c>
      <c r="K23" s="153" t="e">
        <f t="shared" si="3"/>
        <v>#REF!</v>
      </c>
      <c r="L23" s="153" t="e">
        <f t="shared" si="3"/>
        <v>#REF!</v>
      </c>
      <c r="M23" s="153" t="e">
        <f t="shared" si="3"/>
        <v>#REF!</v>
      </c>
      <c r="N23" s="153" t="e">
        <f t="shared" si="3"/>
        <v>#REF!</v>
      </c>
      <c r="O23" s="153" t="e">
        <f t="shared" si="3"/>
        <v>#REF!</v>
      </c>
      <c r="P23" s="153" t="e">
        <f t="shared" si="3"/>
        <v>#REF!</v>
      </c>
      <c r="Q23" s="154" t="e">
        <f t="shared" si="1"/>
        <v>#REF!</v>
      </c>
      <c r="S23" s="155"/>
    </row>
    <row r="24" spans="1:19">
      <c r="B24" s="150" t="s">
        <v>332</v>
      </c>
      <c r="C24" s="132" t="s">
        <v>96</v>
      </c>
      <c r="E24" s="156" t="e">
        <f t="shared" ref="E24:E25" si="4">E11/SUM($E11:$P11)*Инвестиции!#REF!</f>
        <v>#REF!</v>
      </c>
      <c r="F24" s="156" t="e">
        <f t="shared" ref="F24:F25" si="5">F11/SUM($E11:$P11)*Инвестиции!#REF!</f>
        <v>#REF!</v>
      </c>
      <c r="G24" s="156" t="e">
        <f t="shared" ref="G24:G25" si="6">G11/SUM($E11:$P11)*Инвестиции!#REF!</f>
        <v>#REF!</v>
      </c>
      <c r="H24" s="156" t="e">
        <f t="shared" ref="H24:H25" si="7">H11/SUM($E11:$P11)*Инвестиции!#REF!</f>
        <v>#REF!</v>
      </c>
      <c r="I24" s="156" t="e">
        <f t="shared" ref="I24:I25" si="8">I11/SUM($E11:$P11)*Инвестиции!#REF!</f>
        <v>#REF!</v>
      </c>
      <c r="J24" s="156" t="e">
        <f t="shared" ref="J24:J25" si="9">J11/SUM($E11:$P11)*Инвестиции!#REF!</f>
        <v>#REF!</v>
      </c>
      <c r="K24" s="156" t="e">
        <f t="shared" ref="K24:K25" si="10">K11/SUM($E11:$P11)*Инвестиции!#REF!</f>
        <v>#REF!</v>
      </c>
      <c r="L24" s="156" t="e">
        <f t="shared" ref="L24:L25" si="11">L11/SUM($E11:$P11)*Инвестиции!#REF!</f>
        <v>#REF!</v>
      </c>
      <c r="M24" s="156" t="e">
        <f t="shared" ref="M24:M25" si="12">M11/SUM($E11:$P11)*Инвестиции!#REF!</f>
        <v>#REF!</v>
      </c>
      <c r="N24" s="156" t="e">
        <f t="shared" ref="N24:N25" si="13">N11/SUM($E11:$P11)*Инвестиции!#REF!</f>
        <v>#REF!</v>
      </c>
      <c r="O24" s="156" t="e">
        <f t="shared" ref="O24:O25" si="14">O11/SUM($E11:$P11)*Инвестиции!#REF!</f>
        <v>#REF!</v>
      </c>
      <c r="P24" s="156" t="e">
        <f t="shared" ref="P24:P25" si="15">P11/SUM($E11:$P11)*Инвестиции!#REF!</f>
        <v>#REF!</v>
      </c>
      <c r="Q24" s="157" t="e">
        <f t="shared" si="1"/>
        <v>#REF!</v>
      </c>
    </row>
    <row r="25" spans="1:19">
      <c r="B25" s="150" t="s">
        <v>333</v>
      </c>
      <c r="C25" s="132" t="s">
        <v>96</v>
      </c>
      <c r="E25" s="156" t="e">
        <f t="shared" si="4"/>
        <v>#REF!</v>
      </c>
      <c r="F25" s="156" t="e">
        <f t="shared" si="5"/>
        <v>#REF!</v>
      </c>
      <c r="G25" s="156" t="e">
        <f t="shared" si="6"/>
        <v>#REF!</v>
      </c>
      <c r="H25" s="156" t="e">
        <f t="shared" si="7"/>
        <v>#REF!</v>
      </c>
      <c r="I25" s="156" t="e">
        <f t="shared" si="8"/>
        <v>#REF!</v>
      </c>
      <c r="J25" s="156" t="e">
        <f t="shared" si="9"/>
        <v>#REF!</v>
      </c>
      <c r="K25" s="156" t="e">
        <f t="shared" si="10"/>
        <v>#REF!</v>
      </c>
      <c r="L25" s="156" t="e">
        <f t="shared" si="11"/>
        <v>#REF!</v>
      </c>
      <c r="M25" s="156" t="e">
        <f t="shared" si="12"/>
        <v>#REF!</v>
      </c>
      <c r="N25" s="156" t="e">
        <f t="shared" si="13"/>
        <v>#REF!</v>
      </c>
      <c r="O25" s="156" t="e">
        <f t="shared" si="14"/>
        <v>#REF!</v>
      </c>
      <c r="P25" s="156" t="e">
        <f t="shared" si="15"/>
        <v>#REF!</v>
      </c>
      <c r="Q25" s="157" t="e">
        <f t="shared" si="1"/>
        <v>#REF!</v>
      </c>
    </row>
    <row r="26" spans="1:19" s="143" customFormat="1" ht="13.8">
      <c r="A26" s="147"/>
      <c r="B26" s="158" t="s">
        <v>8</v>
      </c>
      <c r="C26" s="148" t="s">
        <v>96</v>
      </c>
      <c r="D26" s="147"/>
      <c r="E26" s="153">
        <f>SUM(E27:E29)</f>
        <v>0</v>
      </c>
      <c r="F26" s="153">
        <f t="shared" ref="F26:O26" si="16">SUM(F27:F29)</f>
        <v>0</v>
      </c>
      <c r="G26" s="153">
        <f t="shared" si="16"/>
        <v>0</v>
      </c>
      <c r="H26" s="153">
        <f t="shared" si="16"/>
        <v>0</v>
      </c>
      <c r="I26" s="153">
        <f>SUM(I27:I29)</f>
        <v>0</v>
      </c>
      <c r="J26" s="153">
        <f t="shared" si="16"/>
        <v>0</v>
      </c>
      <c r="K26" s="153" t="e">
        <f t="shared" si="16"/>
        <v>#REF!</v>
      </c>
      <c r="L26" s="153" t="e">
        <f t="shared" si="16"/>
        <v>#REF!</v>
      </c>
      <c r="M26" s="153" t="e">
        <f t="shared" si="16"/>
        <v>#REF!</v>
      </c>
      <c r="N26" s="153" t="e">
        <f t="shared" si="16"/>
        <v>#REF!</v>
      </c>
      <c r="O26" s="153" t="e">
        <f t="shared" si="16"/>
        <v>#REF!</v>
      </c>
      <c r="P26" s="153" t="e">
        <f>SUM(P27:P29)</f>
        <v>#REF!</v>
      </c>
      <c r="Q26" s="154" t="e">
        <f t="shared" si="1"/>
        <v>#REF!</v>
      </c>
      <c r="R26" s="59"/>
      <c r="S26" s="155"/>
    </row>
    <row r="27" spans="1:19">
      <c r="B27" s="150" t="s">
        <v>334</v>
      </c>
      <c r="C27" s="132" t="s">
        <v>96</v>
      </c>
      <c r="E27" s="156">
        <f>IF(E14,SUMPRODUCT(Персонал!#REF!,Персонал!#REF!)*IF(Предположения!#REF!,13,12)/12+Персонал!#REF!/SUM($E14:$P14),0)</f>
        <v>0</v>
      </c>
      <c r="F27" s="156">
        <f>IF(F14,SUMPRODUCT(Персонал!#REF!,Персонал!#REF!)*IF(Предположения!#REF!,13,12)/12+Персонал!#REF!/SUM($E14:$P14),0)</f>
        <v>0</v>
      </c>
      <c r="G27" s="156">
        <f>IF(G14,SUMPRODUCT(Персонал!#REF!,Персонал!#REF!)*IF(Предположения!#REF!,13,12)/12+Персонал!#REF!/SUM($E14:$P14),0)</f>
        <v>0</v>
      </c>
      <c r="H27" s="156">
        <f>IF(H14,SUMPRODUCT(Персонал!#REF!,Персонал!#REF!)*IF(Предположения!#REF!,13,12)/12+Персонал!#REF!/SUM($E14:$P14),0)</f>
        <v>0</v>
      </c>
      <c r="I27" s="156">
        <f>IF(I14,SUMPRODUCT(Персонал!#REF!,Персонал!#REF!)*IF(Предположения!#REF!,13,12)/12+Персонал!#REF!/SUM($E14:$P14),0)</f>
        <v>0</v>
      </c>
      <c r="J27" s="156">
        <f>IF(J14,SUMPRODUCT(Персонал!#REF!,Персонал!#REF!)*IF(Предположения!#REF!,13,12)/12+Персонал!#REF!/SUM($E14:$P14),0)</f>
        <v>0</v>
      </c>
      <c r="K27" s="156" t="e">
        <f>IF(K14,SUMPRODUCT(Персонал!#REF!,Персонал!#REF!)*IF(Предположения!#REF!,13,12)/12+Персонал!#REF!/SUM($E14:$P14),0)</f>
        <v>#REF!</v>
      </c>
      <c r="L27" s="156" t="e">
        <f>IF(L14,SUMPRODUCT(Персонал!#REF!,Персонал!#REF!)*IF(Предположения!#REF!,13,12)/12+Персонал!#REF!/SUM($E14:$P14),0)</f>
        <v>#REF!</v>
      </c>
      <c r="M27" s="156" t="e">
        <f>IF(M14,SUMPRODUCT(Персонал!#REF!,Персонал!#REF!)*IF(Предположения!#REF!,13,12)/12+Персонал!#REF!/SUM($E14:$P14),0)</f>
        <v>#REF!</v>
      </c>
      <c r="N27" s="156" t="e">
        <f>IF(N14,SUMPRODUCT(Персонал!#REF!,Персонал!#REF!)*IF(Предположения!#REF!,13,12)/12+Персонал!#REF!/SUM($E14:$P14),0)</f>
        <v>#REF!</v>
      </c>
      <c r="O27" s="156" t="e">
        <f>IF(O14,SUMPRODUCT(Персонал!#REF!,Персонал!#REF!)*IF(Предположения!#REF!,13,12)/12+Персонал!#REF!/SUM($E14:$P14),0)</f>
        <v>#REF!</v>
      </c>
      <c r="P27" s="156" t="e">
        <f>IF(P14,SUMPRODUCT(Персонал!#REF!,Персонал!#REF!)*IF(Предположения!#REF!,13,12)/12+Персонал!#REF!/SUM($E14:$P14),0)</f>
        <v>#REF!</v>
      </c>
      <c r="Q27" s="157" t="e">
        <f t="shared" si="1"/>
        <v>#REF!</v>
      </c>
    </row>
    <row r="28" spans="1:19">
      <c r="B28" s="150" t="s">
        <v>335</v>
      </c>
      <c r="C28" s="132" t="s">
        <v>96</v>
      </c>
      <c r="E28" s="156">
        <f>IF(E15,SUMPRODUCT(Персонал!#REF!,Персонал!#REF!)*IF(Предположения!#REF!,13,12)/12+Персонал!#REF!/SUM($E15:$P15),0)</f>
        <v>0</v>
      </c>
      <c r="F28" s="156">
        <f>IF(F15,SUMPRODUCT(Персонал!#REF!,Персонал!#REF!)*IF(Предположения!#REF!,13,12)/12+Персонал!#REF!/SUM($E15:$P15),0)</f>
        <v>0</v>
      </c>
      <c r="G28" s="156">
        <f>IF(G15,SUMPRODUCT(Персонал!#REF!,Персонал!#REF!)*IF(Предположения!#REF!,13,12)/12+Персонал!#REF!/SUM($E15:$P15),0)</f>
        <v>0</v>
      </c>
      <c r="H28" s="156">
        <f>IF(H15,SUMPRODUCT(Персонал!#REF!,Персонал!#REF!)*IF(Предположения!#REF!,13,12)/12+Персонал!#REF!/SUM($E15:$P15),0)</f>
        <v>0</v>
      </c>
      <c r="I28" s="156">
        <f>IF(I15,SUMPRODUCT(Персонал!#REF!,Персонал!#REF!)*IF(Предположения!#REF!,13,12)/12+Персонал!#REF!/SUM($E15:$P15),0)</f>
        <v>0</v>
      </c>
      <c r="J28" s="156">
        <f>IF(J15,SUMPRODUCT(Персонал!#REF!,Персонал!#REF!)*IF(Предположения!#REF!,13,12)/12+Персонал!#REF!/SUM($E15:$P15),0)</f>
        <v>0</v>
      </c>
      <c r="K28" s="156">
        <f>IF(K15,SUMPRODUCT(Персонал!#REF!,Персонал!#REF!)*IF(Предположения!#REF!,13,12)/12+Персонал!#REF!/SUM($E15:$P15),0)</f>
        <v>0</v>
      </c>
      <c r="L28" s="156">
        <f>IF(L15,SUMPRODUCT(Персонал!#REF!,Персонал!#REF!)*IF(Предположения!#REF!,13,12)/12+Персонал!#REF!/SUM($E15:$P15),0)</f>
        <v>0</v>
      </c>
      <c r="M28" s="156">
        <f>IF(M15,SUMPRODUCT(Персонал!#REF!,Персонал!#REF!)*IF(Предположения!#REF!,13,12)/12+Персонал!#REF!/SUM($E15:$P15),0)</f>
        <v>0</v>
      </c>
      <c r="N28" s="156" t="e">
        <f>IF(N15,SUMPRODUCT(Персонал!#REF!,Персонал!#REF!)*IF(Предположения!#REF!,13,12)/12+Персонал!#REF!/SUM($E15:$P15),0)</f>
        <v>#REF!</v>
      </c>
      <c r="O28" s="156" t="e">
        <f>IF(O15,SUMPRODUCT(Персонал!#REF!,Персонал!#REF!)*IF(Предположения!#REF!,13,12)/12+Персонал!#REF!/SUM($E15:$P15),0)</f>
        <v>#REF!</v>
      </c>
      <c r="P28" s="156" t="e">
        <f>IF(P15,SUMPRODUCT(Персонал!#REF!,Персонал!#REF!)*IF(Предположения!#REF!,13,12)/12+Персонал!#REF!/SUM($E15:$P15),0)</f>
        <v>#REF!</v>
      </c>
      <c r="Q28" s="157" t="e">
        <f t="shared" si="1"/>
        <v>#REF!</v>
      </c>
    </row>
    <row r="29" spans="1:19">
      <c r="B29" s="150" t="s">
        <v>336</v>
      </c>
      <c r="C29" s="132" t="s">
        <v>96</v>
      </c>
      <c r="E29" s="156">
        <f>IF(E16,SUMPRODUCT(Персонал!#REF!,Персонал!#REF!)*IF(Предположения!#REF!,13,12)/12+Персонал!#REF!/SUM($E16:$P16),0)</f>
        <v>0</v>
      </c>
      <c r="F29" s="156">
        <f>IF(F16,SUMPRODUCT(Персонал!#REF!,Персонал!#REF!)*IF(Предположения!#REF!,13,12)/12+Персонал!#REF!/SUM($E16:$P16),0)</f>
        <v>0</v>
      </c>
      <c r="G29" s="156">
        <f>IF(G16,SUMPRODUCT(Персонал!#REF!,Персонал!#REF!)*IF(Предположения!#REF!,13,12)/12+Персонал!#REF!/SUM($E16:$P16),0)</f>
        <v>0</v>
      </c>
      <c r="H29" s="156">
        <f>IF(H16,SUMPRODUCT(Персонал!#REF!,Персонал!#REF!)*IF(Предположения!#REF!,13,12)/12+Персонал!#REF!/SUM($E16:$P16),0)</f>
        <v>0</v>
      </c>
      <c r="I29" s="156">
        <f>IF(I16,SUMPRODUCT(Персонал!#REF!,Персонал!#REF!)*IF(Предположения!#REF!,13,12)/12+Персонал!#REF!/SUM($E16:$P16),0)</f>
        <v>0</v>
      </c>
      <c r="J29" s="156">
        <f>IF(J16,SUMPRODUCT(Персонал!#REF!,Персонал!#REF!)*IF(Предположения!#REF!,13,12)/12+Персонал!#REF!/SUM($E16:$P16),0)</f>
        <v>0</v>
      </c>
      <c r="K29" s="156">
        <f>IF(K16,SUMPRODUCT(Персонал!#REF!,Персонал!#REF!)*IF(Предположения!#REF!,13,12)/12+Персонал!#REF!/SUM($E16:$P16),0)</f>
        <v>0</v>
      </c>
      <c r="L29" s="156">
        <f>IF(L16,SUMPRODUCT(Персонал!#REF!,Персонал!#REF!)*IF(Предположения!#REF!,13,12)/12+Персонал!#REF!/SUM($E16:$P16),0)</f>
        <v>0</v>
      </c>
      <c r="M29" s="156">
        <f>IF(M16,SUMPRODUCT(Персонал!#REF!,Персонал!#REF!)*IF(Предположения!#REF!,13,12)/12+Персонал!#REF!/SUM($E16:$P16),0)</f>
        <v>0</v>
      </c>
      <c r="N29" s="156" t="e">
        <f>IF(N16,SUMPRODUCT(Персонал!#REF!,Персонал!#REF!)*IF(Предположения!#REF!,13,12)/12+Персонал!#REF!/SUM($E16:$P16),0)</f>
        <v>#REF!</v>
      </c>
      <c r="O29" s="156" t="e">
        <f>IF(O16,SUMPRODUCT(Персонал!#REF!,Персонал!#REF!)*IF(Предположения!#REF!,13,12)/12+Персонал!#REF!/SUM($E16:$P16),0)</f>
        <v>#REF!</v>
      </c>
      <c r="P29" s="156" t="e">
        <f>IF(P16,SUMPRODUCT(Персонал!#REF!,Персонал!#REF!)*IF(Предположения!#REF!,13,12)/12+Персонал!#REF!/SUM($E16:$P16),0)</f>
        <v>#REF!</v>
      </c>
      <c r="Q29" s="157" t="e">
        <f t="shared" si="1"/>
        <v>#REF!</v>
      </c>
    </row>
    <row r="30" spans="1:19" s="143" customFormat="1" ht="13.8">
      <c r="A30" s="147"/>
      <c r="B30" s="158" t="s">
        <v>341</v>
      </c>
      <c r="C30" s="148" t="s">
        <v>96</v>
      </c>
      <c r="D30" s="147"/>
      <c r="E30" s="153" t="e">
        <f>SUM(E31:E32)</f>
        <v>#REF!</v>
      </c>
      <c r="F30" s="153" t="e">
        <f t="shared" ref="F30:O30" si="17">SUM(F31:F32)</f>
        <v>#REF!</v>
      </c>
      <c r="G30" s="153" t="e">
        <f t="shared" si="17"/>
        <v>#REF!</v>
      </c>
      <c r="H30" s="153" t="e">
        <f t="shared" si="17"/>
        <v>#REF!</v>
      </c>
      <c r="I30" s="153" t="e">
        <f>SUM(I31:I32)</f>
        <v>#REF!</v>
      </c>
      <c r="J30" s="153" t="e">
        <f t="shared" si="17"/>
        <v>#REF!</v>
      </c>
      <c r="K30" s="153" t="e">
        <f t="shared" si="17"/>
        <v>#REF!</v>
      </c>
      <c r="L30" s="153" t="e">
        <f t="shared" si="17"/>
        <v>#REF!</v>
      </c>
      <c r="M30" s="153" t="e">
        <f t="shared" si="17"/>
        <v>#REF!</v>
      </c>
      <c r="N30" s="153" t="e">
        <f t="shared" si="17"/>
        <v>#REF!</v>
      </c>
      <c r="O30" s="153" t="e">
        <f t="shared" si="17"/>
        <v>#REF!</v>
      </c>
      <c r="P30" s="153" t="e">
        <f>SUM(P31:P32)</f>
        <v>#REF!</v>
      </c>
      <c r="Q30" s="154" t="e">
        <f t="shared" si="1"/>
        <v>#REF!</v>
      </c>
      <c r="R30" s="59"/>
      <c r="S30" s="155"/>
    </row>
    <row r="31" spans="1:19">
      <c r="B31" s="150" t="s">
        <v>342</v>
      </c>
      <c r="C31" s="132" t="s">
        <v>96</v>
      </c>
      <c r="E31" s="156" t="e">
        <f>E18/SUM($E18:$P18)*SUM(Затраты!#REF!,Затраты!#REF!,Затраты!#REF!,Затраты!#REF!,Затраты!#REF!,Затраты!#REF!)</f>
        <v>#REF!</v>
      </c>
      <c r="F31" s="156" t="e">
        <f>F18/SUM($E18:$P18)*SUM(Затраты!#REF!,Затраты!#REF!,Затраты!#REF!,Затраты!#REF!,Затраты!#REF!,Затраты!#REF!)</f>
        <v>#REF!</v>
      </c>
      <c r="G31" s="156" t="e">
        <f>G18/SUM($E18:$P18)*SUM(Затраты!#REF!,Затраты!#REF!,Затраты!#REF!,Затраты!#REF!,Затраты!#REF!,Затраты!#REF!)</f>
        <v>#REF!</v>
      </c>
      <c r="H31" s="156" t="e">
        <f>H18/SUM($E18:$P18)*SUM(Затраты!#REF!,Затраты!#REF!,Затраты!#REF!,Затраты!#REF!,Затраты!#REF!,Затраты!#REF!)</f>
        <v>#REF!</v>
      </c>
      <c r="I31" s="156" t="e">
        <f>I18/SUM($E18:$P18)*SUM(Затраты!#REF!,Затраты!#REF!,Затраты!#REF!,Затраты!#REF!,Затраты!#REF!,Затраты!#REF!)</f>
        <v>#REF!</v>
      </c>
      <c r="J31" s="156" t="e">
        <f>J18/SUM($E18:$P18)*SUM(Затраты!#REF!,Затраты!#REF!,Затраты!#REF!,Затраты!#REF!,Затраты!#REF!,Затраты!#REF!)</f>
        <v>#REF!</v>
      </c>
      <c r="K31" s="156" t="e">
        <f>K18/SUM($E18:$P18)*SUM(Затраты!#REF!,Затраты!#REF!,Затраты!#REF!,Затраты!#REF!,Затраты!#REF!,Затраты!#REF!)</f>
        <v>#REF!</v>
      </c>
      <c r="L31" s="156" t="e">
        <f>L18/SUM($E18:$P18)*SUM(Затраты!#REF!,Затраты!#REF!,Затраты!#REF!,Затраты!#REF!,Затраты!#REF!,Затраты!#REF!)</f>
        <v>#REF!</v>
      </c>
      <c r="M31" s="156" t="e">
        <f>M18/SUM($E18:$P18)*SUM(Затраты!#REF!,Затраты!#REF!,Затраты!#REF!,Затраты!#REF!,Затраты!#REF!,Затраты!#REF!)</f>
        <v>#REF!</v>
      </c>
      <c r="N31" s="156" t="e">
        <f>N18/SUM($E18:$P18)*SUM(Затраты!#REF!,Затраты!#REF!,Затраты!#REF!,Затраты!#REF!,Затраты!#REF!,Затраты!#REF!)</f>
        <v>#REF!</v>
      </c>
      <c r="O31" s="156" t="e">
        <f>O18/SUM($E18:$P18)*SUM(Затраты!#REF!,Затраты!#REF!,Затраты!#REF!,Затраты!#REF!,Затраты!#REF!,Затраты!#REF!)</f>
        <v>#REF!</v>
      </c>
      <c r="P31" s="156" t="e">
        <f>P18/SUM($E18:$P18)*SUM(Затраты!#REF!,Затраты!#REF!,Затраты!#REF!,Затраты!#REF!,Затраты!#REF!,Затраты!#REF!)</f>
        <v>#REF!</v>
      </c>
      <c r="Q31" s="157" t="e">
        <f t="shared" si="1"/>
        <v>#REF!</v>
      </c>
    </row>
    <row r="32" spans="1:19">
      <c r="B32" s="150" t="s">
        <v>257</v>
      </c>
      <c r="C32" s="132" t="s">
        <v>96</v>
      </c>
      <c r="E32" s="156" t="e">
        <f>E18/SUM($E18:$P18)*(SUM(Затраты!#REF!,Затраты!#REF!))</f>
        <v>#REF!</v>
      </c>
      <c r="F32" s="156" t="e">
        <f>F18/SUM($E18:$P18)*(SUM(Затраты!#REF!,Затраты!#REF!))</f>
        <v>#REF!</v>
      </c>
      <c r="G32" s="156" t="e">
        <f>G18/SUM($E18:$P18)*(SUM(Затраты!#REF!,Затраты!#REF!))</f>
        <v>#REF!</v>
      </c>
      <c r="H32" s="156" t="e">
        <f>H18/SUM($E18:$P18)*(SUM(Затраты!#REF!,Затраты!#REF!))</f>
        <v>#REF!</v>
      </c>
      <c r="I32" s="156" t="e">
        <f>I18/SUM($E18:$P18)*(SUM(Затраты!#REF!,Затраты!#REF!))</f>
        <v>#REF!</v>
      </c>
      <c r="J32" s="156" t="e">
        <f>J18/SUM($E18:$P18)*(SUM(Затраты!#REF!,Затраты!#REF!))</f>
        <v>#REF!</v>
      </c>
      <c r="K32" s="156" t="e">
        <f>K18/SUM($E18:$P18)*(SUM(Затраты!#REF!,Затраты!#REF!))</f>
        <v>#REF!</v>
      </c>
      <c r="L32" s="156" t="e">
        <f>L18/SUM($E18:$P18)*(SUM(Затраты!#REF!,Затраты!#REF!))</f>
        <v>#REF!</v>
      </c>
      <c r="M32" s="156" t="e">
        <f>M18/SUM($E18:$P18)*(SUM(Затраты!#REF!,Затраты!#REF!))</f>
        <v>#REF!</v>
      </c>
      <c r="N32" s="156" t="e">
        <f>N18/SUM($E18:$P18)*(SUM(Затраты!#REF!,Затраты!#REF!))</f>
        <v>#REF!</v>
      </c>
      <c r="O32" s="156" t="e">
        <f>O18/SUM($E18:$P18)*(SUM(Затраты!#REF!,Затраты!#REF!))</f>
        <v>#REF!</v>
      </c>
      <c r="P32" s="156" t="e">
        <f>P18/SUM($E18:$P18)*(SUM(Затраты!#REF!,Затраты!#REF!))</f>
        <v>#REF!</v>
      </c>
      <c r="Q32" s="157" t="e">
        <f t="shared" si="1"/>
        <v>#REF!</v>
      </c>
    </row>
    <row r="33" spans="1:19" s="143" customFormat="1" ht="13.8">
      <c r="A33" s="147"/>
      <c r="B33" s="158" t="s">
        <v>343</v>
      </c>
      <c r="C33" s="148" t="s">
        <v>96</v>
      </c>
      <c r="D33" s="147"/>
      <c r="E33" s="153" t="e">
        <f t="shared" ref="E33:O33" si="18">SUM(E34:E34)</f>
        <v>#REF!</v>
      </c>
      <c r="F33" s="153" t="e">
        <f t="shared" si="18"/>
        <v>#REF!</v>
      </c>
      <c r="G33" s="153" t="e">
        <f t="shared" si="18"/>
        <v>#REF!</v>
      </c>
      <c r="H33" s="153" t="e">
        <f t="shared" si="18"/>
        <v>#REF!</v>
      </c>
      <c r="I33" s="153" t="e">
        <f t="shared" si="18"/>
        <v>#REF!</v>
      </c>
      <c r="J33" s="153" t="e">
        <f t="shared" si="18"/>
        <v>#REF!</v>
      </c>
      <c r="K33" s="153" t="e">
        <f t="shared" si="18"/>
        <v>#REF!</v>
      </c>
      <c r="L33" s="153" t="e">
        <f t="shared" si="18"/>
        <v>#REF!</v>
      </c>
      <c r="M33" s="153" t="e">
        <f t="shared" si="18"/>
        <v>#REF!</v>
      </c>
      <c r="N33" s="153" t="e">
        <f t="shared" si="18"/>
        <v>#REF!</v>
      </c>
      <c r="O33" s="153" t="e">
        <f t="shared" si="18"/>
        <v>#REF!</v>
      </c>
      <c r="P33" s="153" t="e">
        <f>SUM(P34:P34)</f>
        <v>#REF!</v>
      </c>
      <c r="Q33" s="154" t="e">
        <f t="shared" si="1"/>
        <v>#REF!</v>
      </c>
      <c r="S33" s="155"/>
    </row>
    <row r="34" spans="1:19">
      <c r="B34" s="150" t="s">
        <v>344</v>
      </c>
      <c r="C34" s="132" t="s">
        <v>96</v>
      </c>
      <c r="E34" s="156" t="e">
        <f>IF(E46=1,Инвестиции!#REF!/(12-D5),IF(D34&lt;&gt;0,D34,0))</f>
        <v>#REF!</v>
      </c>
      <c r="F34" s="156" t="e">
        <f>IF(F46=1,Инвестиции!#REF!/(12-E5),IF(E34&lt;&gt;0,E34,0))</f>
        <v>#REF!</v>
      </c>
      <c r="G34" s="156" t="e">
        <f>IF(G46=1,Инвестиции!#REF!/(12-F5),IF(F34&lt;&gt;0,F34,0))</f>
        <v>#REF!</v>
      </c>
      <c r="H34" s="156" t="e">
        <f>IF(H46=1,Инвестиции!#REF!/(12-G5),IF(G34&lt;&gt;0,G34,0))</f>
        <v>#REF!</v>
      </c>
      <c r="I34" s="156" t="e">
        <f>IF(I46=1,Инвестиции!#REF!/(12-H5),IF(H34&lt;&gt;0,H34,0))</f>
        <v>#REF!</v>
      </c>
      <c r="J34" s="156" t="e">
        <f>IF(J46=1,Инвестиции!#REF!/(12-I5),IF(I34&lt;&gt;0,I34,0))</f>
        <v>#REF!</v>
      </c>
      <c r="K34" s="156" t="e">
        <f>IF(K46=1,Инвестиции!#REF!/(12-J5),IF(J34&lt;&gt;0,J34,0))</f>
        <v>#REF!</v>
      </c>
      <c r="L34" s="156" t="e">
        <f>IF(L46=1,Инвестиции!#REF!/(12-K5),IF(K34&lt;&gt;0,K34,0))</f>
        <v>#REF!</v>
      </c>
      <c r="M34" s="156" t="e">
        <f>IF(M46=1,Инвестиции!#REF!/(12-L5),IF(L34&lt;&gt;0,L34,0))</f>
        <v>#REF!</v>
      </c>
      <c r="N34" s="156" t="e">
        <f>IF(N46=1,Инвестиции!#REF!/(12-M5),IF(M34&lt;&gt;0,M34,0))</f>
        <v>#REF!</v>
      </c>
      <c r="O34" s="156" t="e">
        <f>IF(O46=1,Инвестиции!#REF!/(12-N5),IF(N34&lt;&gt;0,N34,0))</f>
        <v>#REF!</v>
      </c>
      <c r="P34" s="156" t="e">
        <f>IF(P46=1,Инвестиции!#REF!/(12-O5),IF(O34&lt;&gt;0,O34,0))</f>
        <v>#REF!</v>
      </c>
      <c r="Q34" s="157" t="e">
        <f t="shared" si="1"/>
        <v>#REF!</v>
      </c>
    </row>
    <row r="35" spans="1:19" s="143" customFormat="1" ht="13.8">
      <c r="A35" s="147"/>
      <c r="B35" s="158" t="s">
        <v>10</v>
      </c>
      <c r="C35" s="148" t="s">
        <v>96</v>
      </c>
      <c r="D35" s="147"/>
      <c r="E35" s="153">
        <f t="shared" ref="E35:P35" si="19">SUM(E36:E38)</f>
        <v>0</v>
      </c>
      <c r="F35" s="153">
        <f t="shared" si="19"/>
        <v>0</v>
      </c>
      <c r="G35" s="153">
        <f t="shared" si="19"/>
        <v>0</v>
      </c>
      <c r="H35" s="153">
        <f t="shared" si="19"/>
        <v>0</v>
      </c>
      <c r="I35" s="153">
        <f t="shared" si="19"/>
        <v>0</v>
      </c>
      <c r="J35" s="153">
        <f t="shared" si="19"/>
        <v>0</v>
      </c>
      <c r="K35" s="153">
        <f t="shared" si="19"/>
        <v>0</v>
      </c>
      <c r="L35" s="153">
        <f t="shared" si="19"/>
        <v>0</v>
      </c>
      <c r="M35" s="153">
        <f t="shared" si="19"/>
        <v>0</v>
      </c>
      <c r="N35" s="153">
        <f t="shared" si="19"/>
        <v>0</v>
      </c>
      <c r="O35" s="153">
        <f t="shared" si="19"/>
        <v>0</v>
      </c>
      <c r="P35" s="153">
        <f t="shared" si="19"/>
        <v>0</v>
      </c>
      <c r="Q35" s="154">
        <f t="shared" si="1"/>
        <v>0</v>
      </c>
    </row>
    <row r="36" spans="1:19">
      <c r="B36" s="150" t="s">
        <v>190</v>
      </c>
      <c r="C36" s="132" t="s">
        <v>96</v>
      </c>
      <c r="E36" s="156">
        <f>E14/SUM($E14:$P14)*-'Финансовые результаты'!$D73</f>
        <v>0</v>
      </c>
      <c r="F36" s="156">
        <f>F14/SUM($E14:$P14)*-'Финансовые результаты'!$D73</f>
        <v>0</v>
      </c>
      <c r="G36" s="156">
        <f>G14/SUM($E14:$P14)*-'Финансовые результаты'!$D73</f>
        <v>0</v>
      </c>
      <c r="H36" s="156">
        <f>H14/SUM($E14:$P14)*-'Финансовые результаты'!$D73</f>
        <v>0</v>
      </c>
      <c r="I36" s="156">
        <f>I14/SUM($E14:$P14)*-'Финансовые результаты'!$D73</f>
        <v>0</v>
      </c>
      <c r="J36" s="156">
        <f>J14/SUM($E14:$P14)*-'Финансовые результаты'!$D73</f>
        <v>0</v>
      </c>
      <c r="K36" s="156">
        <f>K14/SUM($E14:$P14)*-'Финансовые результаты'!$D73</f>
        <v>0</v>
      </c>
      <c r="L36" s="156">
        <f>L14/SUM($E14:$P14)*-'Финансовые результаты'!$D73</f>
        <v>0</v>
      </c>
      <c r="M36" s="156">
        <f>M14/SUM($E14:$P14)*-'Финансовые результаты'!$D73</f>
        <v>0</v>
      </c>
      <c r="N36" s="156">
        <f>N14/SUM($E14:$P14)*-'Финансовые результаты'!$D73</f>
        <v>0</v>
      </c>
      <c r="O36" s="156">
        <f>O14/SUM($E14:$P14)*-'Финансовые результаты'!$D73</f>
        <v>0</v>
      </c>
      <c r="P36" s="156">
        <f>P14/SUM($E14:$P14)*-'Финансовые результаты'!$D73</f>
        <v>0</v>
      </c>
      <c r="Q36" s="157">
        <f t="shared" si="1"/>
        <v>0</v>
      </c>
      <c r="S36" s="155"/>
    </row>
    <row r="37" spans="1:19">
      <c r="B37" s="150" t="s">
        <v>345</v>
      </c>
      <c r="C37" s="132" t="s">
        <v>96</v>
      </c>
      <c r="E37" s="156">
        <f>E14/SUM($E14:$P14)*'Финансовые результаты'!$D62</f>
        <v>0</v>
      </c>
      <c r="F37" s="156">
        <f>F14/SUM($E14:$P14)*'Финансовые результаты'!$D62</f>
        <v>0</v>
      </c>
      <c r="G37" s="156">
        <f>G14/SUM($E14:$P14)*'Финансовые результаты'!$D62</f>
        <v>0</v>
      </c>
      <c r="H37" s="156">
        <f>H14/SUM($E14:$P14)*'Финансовые результаты'!$D62</f>
        <v>0</v>
      </c>
      <c r="I37" s="156">
        <f>I14/SUM($E14:$P14)*'Финансовые результаты'!$D62</f>
        <v>0</v>
      </c>
      <c r="J37" s="156">
        <f>J14/SUM($E14:$P14)*'Финансовые результаты'!$D62</f>
        <v>0</v>
      </c>
      <c r="K37" s="156">
        <f>K14/SUM($E14:$P14)*'Финансовые результаты'!$D62</f>
        <v>0</v>
      </c>
      <c r="L37" s="156">
        <f>L14/SUM($E14:$P14)*'Финансовые результаты'!$D62</f>
        <v>0</v>
      </c>
      <c r="M37" s="156">
        <f>M14/SUM($E14:$P14)*'Финансовые результаты'!$D62</f>
        <v>0</v>
      </c>
      <c r="N37" s="156">
        <f>N14/SUM($E14:$P14)*'Финансовые результаты'!$D62</f>
        <v>0</v>
      </c>
      <c r="O37" s="156">
        <f>O14/SUM($E14:$P14)*'Финансовые результаты'!$D62</f>
        <v>0</v>
      </c>
      <c r="P37" s="156">
        <f>P14/SUM($E14:$P14)*'Финансовые результаты'!$D62</f>
        <v>0</v>
      </c>
      <c r="Q37" s="157">
        <f t="shared" si="1"/>
        <v>0</v>
      </c>
    </row>
    <row r="38" spans="1:19">
      <c r="B38" s="150" t="s">
        <v>346</v>
      </c>
      <c r="C38" s="132" t="s">
        <v>96</v>
      </c>
      <c r="E38" s="156">
        <f>E14/SUM($E14:$P14)*'Финансовые результаты'!$D20</f>
        <v>0</v>
      </c>
      <c r="F38" s="156">
        <f>F14/SUM($E14:$P14)*'Финансовые результаты'!$D20</f>
        <v>0</v>
      </c>
      <c r="G38" s="156">
        <f>G14/SUM($E14:$P14)*'Финансовые результаты'!$D20</f>
        <v>0</v>
      </c>
      <c r="H38" s="156">
        <f>H14/SUM($E14:$P14)*'Финансовые результаты'!$D20</f>
        <v>0</v>
      </c>
      <c r="I38" s="156">
        <f>I14/SUM($E14:$P14)*'Финансовые результаты'!$D20</f>
        <v>0</v>
      </c>
      <c r="J38" s="156">
        <f>J14/SUM($E14:$P14)*'Финансовые результаты'!$D20</f>
        <v>0</v>
      </c>
      <c r="K38" s="156">
        <f>K14/SUM($E14:$P14)*'Финансовые результаты'!$D20</f>
        <v>0</v>
      </c>
      <c r="L38" s="156">
        <f>L14/SUM($E14:$P14)*'Финансовые результаты'!$D20</f>
        <v>0</v>
      </c>
      <c r="M38" s="156">
        <f>M14/SUM($E14:$P14)*'Финансовые результаты'!$D20</f>
        <v>0</v>
      </c>
      <c r="N38" s="156">
        <f>N14/SUM($E14:$P14)*'Финансовые результаты'!$D20</f>
        <v>0</v>
      </c>
      <c r="O38" s="156">
        <f>O14/SUM($E14:$P14)*'Финансовые результаты'!$D20</f>
        <v>0</v>
      </c>
      <c r="P38" s="156">
        <f>P14/SUM($E14:$P14)*'Финансовые результаты'!$D20</f>
        <v>0</v>
      </c>
      <c r="Q38" s="157">
        <f t="shared" si="1"/>
        <v>0</v>
      </c>
      <c r="R38" s="156"/>
      <c r="S38" s="155"/>
    </row>
    <row r="39" spans="1:19" s="143" customFormat="1" ht="13.8">
      <c r="A39" s="27"/>
      <c r="B39" s="25" t="s">
        <v>347</v>
      </c>
      <c r="C39" s="144" t="s">
        <v>96</v>
      </c>
      <c r="D39" s="27"/>
      <c r="E39" s="145">
        <f>E40+D41</f>
        <v>0</v>
      </c>
      <c r="F39" s="145" t="e">
        <f t="shared" ref="F39:P39" si="20">F40+E41</f>
        <v>#REF!</v>
      </c>
      <c r="G39" s="145" t="e">
        <f t="shared" si="20"/>
        <v>#REF!</v>
      </c>
      <c r="H39" s="145" t="e">
        <f t="shared" si="20"/>
        <v>#REF!</v>
      </c>
      <c r="I39" s="145" t="e">
        <f t="shared" si="20"/>
        <v>#REF!</v>
      </c>
      <c r="J39" s="145" t="e">
        <f t="shared" si="20"/>
        <v>#REF!</v>
      </c>
      <c r="K39" s="145" t="e">
        <f t="shared" si="20"/>
        <v>#REF!</v>
      </c>
      <c r="L39" s="145" t="e">
        <f t="shared" si="20"/>
        <v>#REF!</v>
      </c>
      <c r="M39" s="145" t="e">
        <f t="shared" si="20"/>
        <v>#REF!</v>
      </c>
      <c r="N39" s="145" t="e">
        <f t="shared" si="20"/>
        <v>#REF!</v>
      </c>
      <c r="O39" s="145" t="e">
        <f t="shared" si="20"/>
        <v>#REF!</v>
      </c>
      <c r="P39" s="145" t="e">
        <f t="shared" si="20"/>
        <v>#REF!</v>
      </c>
      <c r="Q39" s="152" t="e">
        <f t="shared" si="1"/>
        <v>#REF!</v>
      </c>
      <c r="R39" s="159"/>
    </row>
    <row r="40" spans="1:19" s="143" customFormat="1" ht="13.8">
      <c r="A40" s="147"/>
      <c r="B40" s="158" t="s">
        <v>348</v>
      </c>
      <c r="C40" s="148" t="s">
        <v>96</v>
      </c>
      <c r="D40" s="147"/>
      <c r="E40" s="153">
        <f>IF(SUM($E19:$P19)&gt;0,E19/SUM($E19:$P19)*'Финансовые результаты'!$D43*(1+Предположения!$D$14),0)</f>
        <v>0</v>
      </c>
      <c r="F40" s="153">
        <f>IF(SUM($E19:$P19)&gt;0,F19/SUM($E19:$P19)*'Финансовые результаты'!$D43*(1+Предположения!$D$14),0)</f>
        <v>0</v>
      </c>
      <c r="G40" s="153">
        <f>IF(SUM($E19:$P19)&gt;0,G19/SUM($E19:$P19)*'Финансовые результаты'!$D43*(1+Предположения!$D$14),0)</f>
        <v>0</v>
      </c>
      <c r="H40" s="153">
        <f>IF(SUM($E19:$P19)&gt;0,H19/SUM($E19:$P19)*'Финансовые результаты'!$D43*(1+Предположения!$D$14),0)</f>
        <v>0</v>
      </c>
      <c r="I40" s="153">
        <f>IF(SUM($E19:$P19)&gt;0,I19/SUM($E19:$P19)*'Финансовые результаты'!$D43*(1+Предположения!$D$14),0)</f>
        <v>0</v>
      </c>
      <c r="J40" s="153">
        <f>IF(SUM($E19:$P19)&gt;0,J19/SUM($E19:$P19)*'Финансовые результаты'!$D43*(1+Предположения!$D$14),0)</f>
        <v>0</v>
      </c>
      <c r="K40" s="153">
        <f>IF(SUM($E19:$P19)&gt;0,K19/SUM($E19:$P19)*'Финансовые результаты'!$D43*(1+Предположения!$D$14),0)</f>
        <v>0</v>
      </c>
      <c r="L40" s="153">
        <f>IF(SUM($E19:$P19)&gt;0,L19/SUM($E19:$P19)*'Финансовые результаты'!$D43*(1+Предположения!$D$14),0)</f>
        <v>0</v>
      </c>
      <c r="M40" s="153">
        <f>IF(SUM($E19:$P19)&gt;0,M19/SUM($E19:$P19)*'Финансовые результаты'!$D43*(1+Предположения!$D$14),0)</f>
        <v>0</v>
      </c>
      <c r="N40" s="153">
        <f>IF(SUM($E19:$P19)&gt;0,N19/SUM($E19:$P19)*'Финансовые результаты'!$D43*(1+Предположения!$D$14),0)</f>
        <v>0</v>
      </c>
      <c r="O40" s="153">
        <f>IF(SUM($E19:$P19)&gt;0,O19/SUM($E19:$P19)*'Финансовые результаты'!$D43*(1+Предположения!$D$14),0)</f>
        <v>0</v>
      </c>
      <c r="P40" s="153">
        <f>IF(SUM($E19:$P19)&gt;0,P19/SUM($E19:$P19)*'Финансовые результаты'!$D43*(1+Предположения!$D$14),0)</f>
        <v>0</v>
      </c>
      <c r="Q40" s="154">
        <f t="shared" si="1"/>
        <v>0</v>
      </c>
      <c r="R40" s="159"/>
    </row>
    <row r="41" spans="1:19" s="143" customFormat="1" ht="27.6">
      <c r="A41" s="147"/>
      <c r="B41" s="158" t="s">
        <v>349</v>
      </c>
      <c r="C41" s="148" t="s">
        <v>96</v>
      </c>
      <c r="D41" s="147"/>
      <c r="E41" s="153" t="e">
        <f t="shared" ref="E41:P41" si="21">IF(E39-E20&gt;0,E39-E20,0)</f>
        <v>#REF!</v>
      </c>
      <c r="F41" s="153" t="e">
        <f t="shared" si="21"/>
        <v>#REF!</v>
      </c>
      <c r="G41" s="153" t="e">
        <f t="shared" si="21"/>
        <v>#REF!</v>
      </c>
      <c r="H41" s="153" t="e">
        <f t="shared" si="21"/>
        <v>#REF!</v>
      </c>
      <c r="I41" s="153" t="e">
        <f t="shared" si="21"/>
        <v>#REF!</v>
      </c>
      <c r="J41" s="153" t="e">
        <f t="shared" si="21"/>
        <v>#REF!</v>
      </c>
      <c r="K41" s="153" t="e">
        <f t="shared" si="21"/>
        <v>#REF!</v>
      </c>
      <c r="L41" s="153" t="e">
        <f t="shared" si="21"/>
        <v>#REF!</v>
      </c>
      <c r="M41" s="153" t="e">
        <f t="shared" si="21"/>
        <v>#REF!</v>
      </c>
      <c r="N41" s="153" t="e">
        <f t="shared" si="21"/>
        <v>#REF!</v>
      </c>
      <c r="O41" s="153" t="e">
        <f t="shared" si="21"/>
        <v>#REF!</v>
      </c>
      <c r="P41" s="153" t="e">
        <f t="shared" si="21"/>
        <v>#REF!</v>
      </c>
      <c r="Q41" s="154" t="e">
        <f>SUM(P41)</f>
        <v>#REF!</v>
      </c>
      <c r="R41" s="159"/>
    </row>
    <row r="42" spans="1:19" s="143" customFormat="1" ht="27.6">
      <c r="A42" s="27"/>
      <c r="B42" s="25" t="s">
        <v>350</v>
      </c>
      <c r="C42" s="144" t="s">
        <v>96</v>
      </c>
      <c r="D42" s="27"/>
      <c r="E42" s="145" t="e">
        <f t="shared" ref="E42:P42" si="22">E20-E39+E41</f>
        <v>#REF!</v>
      </c>
      <c r="F42" s="145" t="e">
        <f t="shared" si="22"/>
        <v>#REF!</v>
      </c>
      <c r="G42" s="145" t="e">
        <f t="shared" si="22"/>
        <v>#REF!</v>
      </c>
      <c r="H42" s="145" t="e">
        <f t="shared" si="22"/>
        <v>#REF!</v>
      </c>
      <c r="I42" s="145" t="e">
        <f t="shared" si="22"/>
        <v>#REF!</v>
      </c>
      <c r="J42" s="145" t="e">
        <f t="shared" si="22"/>
        <v>#REF!</v>
      </c>
      <c r="K42" s="145" t="e">
        <f t="shared" si="22"/>
        <v>#REF!</v>
      </c>
      <c r="L42" s="145" t="e">
        <f t="shared" si="22"/>
        <v>#REF!</v>
      </c>
      <c r="M42" s="145" t="e">
        <f t="shared" si="22"/>
        <v>#REF!</v>
      </c>
      <c r="N42" s="145" t="e">
        <f t="shared" si="22"/>
        <v>#REF!</v>
      </c>
      <c r="O42" s="145" t="e">
        <f t="shared" si="22"/>
        <v>#REF!</v>
      </c>
      <c r="P42" s="145" t="e">
        <f t="shared" si="22"/>
        <v>#REF!</v>
      </c>
      <c r="Q42" s="152" t="e">
        <f>SUM(E42:P42)-Q41</f>
        <v>#REF!</v>
      </c>
      <c r="R42" s="159"/>
      <c r="S42" s="155"/>
    </row>
    <row r="43" spans="1:19" s="143" customFormat="1" ht="13.8">
      <c r="A43" s="27"/>
      <c r="B43" s="160" t="s">
        <v>351</v>
      </c>
      <c r="C43" s="161" t="s">
        <v>96</v>
      </c>
      <c r="D43" s="27"/>
      <c r="E43" s="162" t="e">
        <f>D43+'Финансовые результаты'!$D87+'Финансовые результаты'!D89-(E21+E23+E26+E30+E33+E36+E37-E40)</f>
        <v>#REF!</v>
      </c>
      <c r="F43" s="162" t="e">
        <f t="shared" ref="F43:P43" si="23">E43-(F21+F23+F26+F30+F33+F36+F37-F40)</f>
        <v>#REF!</v>
      </c>
      <c r="G43" s="162" t="e">
        <f t="shared" si="23"/>
        <v>#REF!</v>
      </c>
      <c r="H43" s="162" t="e">
        <f t="shared" si="23"/>
        <v>#REF!</v>
      </c>
      <c r="I43" s="162" t="e">
        <f t="shared" si="23"/>
        <v>#REF!</v>
      </c>
      <c r="J43" s="162" t="e">
        <f t="shared" si="23"/>
        <v>#REF!</v>
      </c>
      <c r="K43" s="162" t="e">
        <f t="shared" si="23"/>
        <v>#REF!</v>
      </c>
      <c r="L43" s="162" t="e">
        <f t="shared" si="23"/>
        <v>#REF!</v>
      </c>
      <c r="M43" s="162" t="e">
        <f t="shared" si="23"/>
        <v>#REF!</v>
      </c>
      <c r="N43" s="162" t="e">
        <f t="shared" si="23"/>
        <v>#REF!</v>
      </c>
      <c r="O43" s="162" t="e">
        <f t="shared" si="23"/>
        <v>#REF!</v>
      </c>
      <c r="P43" s="162" t="e">
        <f t="shared" si="23"/>
        <v>#REF!</v>
      </c>
      <c r="Q43" s="152" t="e">
        <f>MIN(E43:P43)</f>
        <v>#REF!</v>
      </c>
      <c r="R43" s="159"/>
      <c r="S43" s="155"/>
    </row>
    <row r="44" spans="1:19"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9"/>
      <c r="S44" s="155"/>
    </row>
    <row r="45" spans="1:19" s="143" customFormat="1" ht="13.8">
      <c r="A45" s="27"/>
      <c r="B45" s="27" t="s">
        <v>352</v>
      </c>
      <c r="C45" s="144"/>
      <c r="D45" s="27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9"/>
    </row>
    <row r="46" spans="1:19">
      <c r="B46" s="59" t="s">
        <v>353</v>
      </c>
      <c r="D46" s="163" t="e">
        <f>LOOKUP(1,E46:P46,E5:P5)-1</f>
        <v>#N/A</v>
      </c>
      <c r="E46" s="151" t="e">
        <f>IF(AND(E23&gt;0,SUM(F23:$P23)=0),1,0)</f>
        <v>#REF!</v>
      </c>
      <c r="F46" s="151" t="e">
        <f>IF(AND(F23&gt;0,SUM(G23:$P23)=0),1,0)</f>
        <v>#REF!</v>
      </c>
      <c r="G46" s="151" t="e">
        <f>IF(AND(G23&gt;0,SUM(H23:$P23)=0),1,0)</f>
        <v>#REF!</v>
      </c>
      <c r="H46" s="151" t="e">
        <f>IF(AND(H23&gt;0,SUM(I23:$P23)=0),1,0)</f>
        <v>#REF!</v>
      </c>
      <c r="I46" s="151" t="e">
        <f>IF(AND(I23&gt;0,SUM(J23:$P23)=0),1,0)</f>
        <v>#REF!</v>
      </c>
      <c r="J46" s="151" t="e">
        <f>IF(AND(J23&gt;0,SUM(K23:$P23)=0),1,0)</f>
        <v>#REF!</v>
      </c>
      <c r="K46" s="151" t="e">
        <f>IF(AND(K23&gt;0,SUM(L23:$P23)=0),1,0)</f>
        <v>#REF!</v>
      </c>
      <c r="L46" s="151" t="e">
        <f>IF(AND(L23&gt;0,SUM(M23:$P23)=0),1,0)</f>
        <v>#REF!</v>
      </c>
      <c r="M46" s="151" t="e">
        <f>IF(AND(M23&gt;0,SUM(N23:$P23)=0),1,0)</f>
        <v>#REF!</v>
      </c>
      <c r="N46" s="151" t="e">
        <f>IF(AND(N23&gt;0,SUM(O23:$P23)=0),1,0)</f>
        <v>#REF!</v>
      </c>
      <c r="O46" s="151" t="e">
        <f>IF(AND(O23&gt;0,SUM(P23:$P23)=0),1,0)</f>
        <v>#REF!</v>
      </c>
      <c r="P46" s="151" t="e">
        <f>IF(AND(P23&gt;0,SUM($P23:Q23)=0),1,0)</f>
        <v>#REF!</v>
      </c>
    </row>
    <row r="48" spans="1:19">
      <c r="B48" s="164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7"/>
    </row>
    <row r="49" spans="2:17">
      <c r="B49" s="164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</row>
    <row r="50" spans="2:17">
      <c r="B50" s="165"/>
      <c r="C50" s="139"/>
      <c r="D50" s="133"/>
      <c r="E50" s="166"/>
      <c r="F50" s="16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</row>
    <row r="51" spans="2:17">
      <c r="B51" s="165"/>
      <c r="C51" s="139"/>
      <c r="D51" s="133"/>
      <c r="E51" s="157"/>
      <c r="F51" s="157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</row>
    <row r="52" spans="2:17">
      <c r="B52" s="133"/>
      <c r="C52" s="139"/>
      <c r="D52" s="133"/>
      <c r="E52" s="157"/>
      <c r="F52" s="157"/>
      <c r="G52" s="139"/>
      <c r="H52" s="139"/>
    </row>
    <row r="53" spans="2:17">
      <c r="B53" s="133"/>
      <c r="C53" s="139"/>
      <c r="D53" s="133"/>
      <c r="E53" s="157"/>
      <c r="F53" s="157"/>
      <c r="G53" s="157"/>
      <c r="H53" s="157"/>
      <c r="I53" s="156"/>
      <c r="J53" s="167"/>
    </row>
    <row r="54" spans="2:17">
      <c r="B54" s="133"/>
      <c r="C54" s="139"/>
      <c r="D54" s="133"/>
      <c r="E54" s="157"/>
      <c r="F54" s="157"/>
      <c r="G54" s="157"/>
      <c r="H54" s="157"/>
      <c r="I54" s="156"/>
      <c r="J54" s="167"/>
    </row>
    <row r="55" spans="2:17">
      <c r="B55" s="133"/>
      <c r="C55" s="139"/>
      <c r="D55" s="133"/>
      <c r="E55" s="157"/>
      <c r="F55" s="157"/>
      <c r="G55" s="157"/>
      <c r="H55" s="157"/>
      <c r="I55" s="156"/>
      <c r="J55" s="167"/>
    </row>
    <row r="56" spans="2:17">
      <c r="B56" s="133"/>
      <c r="C56" s="139"/>
      <c r="D56" s="133"/>
      <c r="E56" s="157"/>
      <c r="F56" s="157"/>
      <c r="G56" s="157"/>
      <c r="H56" s="157"/>
      <c r="I56" s="156"/>
      <c r="J56" s="167"/>
    </row>
    <row r="57" spans="2:17">
      <c r="B57" s="168"/>
      <c r="C57" s="139"/>
      <c r="D57" s="133"/>
      <c r="E57" s="157"/>
      <c r="F57" s="157"/>
      <c r="G57" s="157"/>
      <c r="H57" s="157"/>
      <c r="I57" s="156"/>
    </row>
    <row r="58" spans="2:17">
      <c r="B58" s="168"/>
      <c r="C58" s="139"/>
      <c r="D58" s="133"/>
      <c r="E58" s="157"/>
      <c r="F58" s="157"/>
      <c r="G58" s="157"/>
      <c r="H58" s="157"/>
      <c r="I58" s="156"/>
    </row>
    <row r="59" spans="2:17">
      <c r="B59" s="168"/>
      <c r="C59" s="139"/>
      <c r="D59" s="133"/>
      <c r="E59" s="157"/>
      <c r="F59" s="157"/>
      <c r="G59" s="157"/>
      <c r="H59" s="157"/>
      <c r="I59" s="156"/>
    </row>
    <row r="60" spans="2:17">
      <c r="B60" s="168"/>
      <c r="C60" s="139"/>
      <c r="D60" s="133"/>
      <c r="E60" s="157"/>
      <c r="F60" s="157"/>
      <c r="G60" s="157"/>
      <c r="H60" s="157"/>
      <c r="I60" s="156"/>
    </row>
  </sheetData>
  <conditionalFormatting sqref="E46:P46 E14:P19 E9:P9 E11:P12">
    <cfRule type="cellIs" dxfId="5" priority="9" stopIfTrue="1" operator="equal">
      <formula>1</formula>
    </cfRule>
  </conditionalFormatting>
  <dataValidations xWindow="720" yWindow="609" count="2">
    <dataValidation allowBlank="1" showInputMessage="1" showErrorMessage="1" errorTitle="Ошибка" error="Введите &quot;1&quot; если в данный период планируются расходы либо проведение мероприятий по соответствующей статье_x000a_Иначе оставьте ячейку пустой" promptTitle="Подсказка" prompt="Введите &quot;1&quot; если в данный период планируются расходы либо проведение мероприятий по соответствующей статье_x000a_Иначе оставьте ячейку пустой" sqref="E46:P46" xr:uid="{00000000-0002-0000-0800-000000000000}"/>
    <dataValidation type="list" allowBlank="1" showInputMessage="1" showErrorMessage="1" errorTitle="Ошибка" error="Введите &quot;1&quot; если в данный период планируются расходы либо проведение мероприятий по соответствующей статье_x000a_Иначе оставьте ячейку пустой" promptTitle="Подсказка" prompt="Введите &quot;1&quot; если в данный период планируются расходы либо проведение мероприятий по соответствующей статье_x000a_Иначе оставьте ячейку пустой" sqref="E14:P16 E9:P9 E18:P19 E11:P12" xr:uid="{00CC0043-0085-455C-9675-0096003E004F}">
      <formula1>"1"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Титульный лист</vt:lpstr>
      <vt:lpstr>Предположения</vt:lpstr>
      <vt:lpstr>Выручка</vt:lpstr>
      <vt:lpstr>Затраты</vt:lpstr>
      <vt:lpstr>Персонал</vt:lpstr>
      <vt:lpstr>Оборотный капитал</vt:lpstr>
      <vt:lpstr>Инвестиции</vt:lpstr>
      <vt:lpstr>Финансовые результаты</vt:lpstr>
      <vt:lpstr>План-график</vt:lpstr>
      <vt:lpstr>Графики</vt:lpstr>
      <vt:lpstr>Предположения!Область_печати</vt:lpstr>
    </vt:vector>
  </TitlesOfParts>
  <Company>Branan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V. Volkova</dc:creator>
  <cp:lastModifiedBy>Roman Rogulya</cp:lastModifiedBy>
  <cp:revision>2</cp:revision>
  <dcterms:created xsi:type="dcterms:W3CDTF">2010-11-11T09:25:25Z</dcterms:created>
  <dcterms:modified xsi:type="dcterms:W3CDTF">2024-06-10T07:46:35Z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80&quot;/&gt;&lt;CXlWorkbook id=&quot;1&quot;&gt;&lt;m_cxllink/&gt;&lt;/CXlWorkbook&gt;&lt;/root&gt;">
    <vt:bool>false</vt:bool>
  </property>
</Properties>
</file>