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Финансовая модель" sheetId="1" r:id="rId1"/>
    <sheet name="Оценка эффективности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3" l="1"/>
  <c r="D8" i="3"/>
  <c r="E8" i="1"/>
  <c r="D8" i="1"/>
  <c r="L7" i="1"/>
  <c r="C11" i="1"/>
  <c r="B9" i="1"/>
  <c r="K22" i="1"/>
  <c r="K21" i="1"/>
  <c r="L4" i="1"/>
  <c r="K24" i="1"/>
  <c r="C28" i="3" l="1"/>
  <c r="D28" i="3"/>
  <c r="E28" i="3"/>
  <c r="F28" i="3"/>
  <c r="G28" i="3"/>
  <c r="B28" i="3"/>
  <c r="K23" i="1"/>
  <c r="K25" i="1" s="1"/>
  <c r="B35" i="3" l="1"/>
  <c r="L13" i="3" l="1"/>
  <c r="M12" i="3"/>
  <c r="P7" i="3"/>
  <c r="O7" i="3"/>
  <c r="P6" i="3"/>
  <c r="O6" i="3"/>
  <c r="P5" i="3"/>
  <c r="O5" i="3"/>
  <c r="P4" i="3"/>
  <c r="O4" i="3"/>
  <c r="L4" i="3"/>
  <c r="P3" i="3"/>
  <c r="O3" i="3"/>
  <c r="M3" i="3"/>
  <c r="N3" i="3" s="1"/>
  <c r="G26" i="3"/>
  <c r="F26" i="3"/>
  <c r="E26" i="3"/>
  <c r="D26" i="3"/>
  <c r="C26" i="3"/>
  <c r="B26" i="3"/>
  <c r="G18" i="3"/>
  <c r="F18" i="3"/>
  <c r="E18" i="3"/>
  <c r="D18" i="3"/>
  <c r="C18" i="3"/>
  <c r="B18" i="3"/>
  <c r="G17" i="3"/>
  <c r="G19" i="3" s="1"/>
  <c r="F17" i="3"/>
  <c r="E17" i="3"/>
  <c r="E19" i="3" s="1"/>
  <c r="D17" i="3"/>
  <c r="C17" i="3"/>
  <c r="C19" i="3" s="1"/>
  <c r="B17" i="3"/>
  <c r="F16" i="3"/>
  <c r="F19" i="3" s="1"/>
  <c r="D16" i="3"/>
  <c r="D19" i="3" s="1"/>
  <c r="B16" i="3"/>
  <c r="B19" i="3" s="1"/>
  <c r="G11" i="3"/>
  <c r="F11" i="3"/>
  <c r="D11" i="3"/>
  <c r="C11" i="3"/>
  <c r="G10" i="3"/>
  <c r="F10" i="3"/>
  <c r="E10" i="3"/>
  <c r="D10" i="3"/>
  <c r="C10" i="3"/>
  <c r="G8" i="3"/>
  <c r="G9" i="3" s="1"/>
  <c r="F8" i="3"/>
  <c r="F9" i="3" s="1"/>
  <c r="E9" i="3"/>
  <c r="D9" i="3"/>
  <c r="C8" i="3"/>
  <c r="C9" i="3" s="1"/>
  <c r="B7" i="3"/>
  <c r="B9" i="3" s="1"/>
  <c r="G6" i="3"/>
  <c r="F6" i="3"/>
  <c r="E6" i="3"/>
  <c r="D6" i="3"/>
  <c r="C6" i="3"/>
  <c r="B6" i="3"/>
  <c r="B14" i="3" s="1"/>
  <c r="B23" i="1"/>
  <c r="M13" i="3" l="1"/>
  <c r="L14" i="3"/>
  <c r="Q3" i="3"/>
  <c r="C3" i="3" s="1"/>
  <c r="L5" i="3"/>
  <c r="L6" i="3" s="1"/>
  <c r="L7" i="3" s="1"/>
  <c r="M7" i="3" s="1"/>
  <c r="M4" i="3"/>
  <c r="N13" i="3"/>
  <c r="Q13" i="3" s="1"/>
  <c r="D4" i="3" s="1"/>
  <c r="N12" i="3"/>
  <c r="Q12" i="3" s="1"/>
  <c r="B27" i="3"/>
  <c r="B29" i="3" s="1"/>
  <c r="M5" i="3" l="1"/>
  <c r="M6" i="3"/>
  <c r="N6" i="3" s="1"/>
  <c r="N4" i="3"/>
  <c r="Q4" i="3" s="1"/>
  <c r="D3" i="3" s="1"/>
  <c r="B30" i="3"/>
  <c r="C4" i="3"/>
  <c r="C12" i="3" s="1"/>
  <c r="N7" i="3"/>
  <c r="Q7" i="3" s="1"/>
  <c r="G3" i="3" s="1"/>
  <c r="L15" i="3"/>
  <c r="M14" i="3"/>
  <c r="N5" i="3"/>
  <c r="Q5" i="3" s="1"/>
  <c r="Q6" i="3" l="1"/>
  <c r="F3" i="3" s="1"/>
  <c r="E3" i="3"/>
  <c r="Q8" i="3"/>
  <c r="D12" i="3"/>
  <c r="D14" i="3" s="1"/>
  <c r="D27" i="3" s="1"/>
  <c r="D29" i="3" s="1"/>
  <c r="N14" i="3"/>
  <c r="Q14" i="3" s="1"/>
  <c r="M15" i="3"/>
  <c r="L16" i="3"/>
  <c r="M16" i="3" s="1"/>
  <c r="C14" i="3"/>
  <c r="C27" i="3" s="1"/>
  <c r="E4" i="3" l="1"/>
  <c r="E12" i="3" s="1"/>
  <c r="E14" i="3" s="1"/>
  <c r="E27" i="3" s="1"/>
  <c r="C29" i="3"/>
  <c r="N16" i="3"/>
  <c r="Q16" i="3" s="1"/>
  <c r="G4" i="3" s="1"/>
  <c r="N15" i="3"/>
  <c r="Q15" i="3" s="1"/>
  <c r="C30" i="3" l="1"/>
  <c r="D30" i="3" s="1"/>
  <c r="B39" i="3"/>
  <c r="F4" i="3"/>
  <c r="Q17" i="3"/>
  <c r="Q19" i="3" s="1"/>
  <c r="G12" i="3"/>
  <c r="G14" i="3" s="1"/>
  <c r="G27" i="3" s="1"/>
  <c r="E29" i="3"/>
  <c r="E30" i="3" l="1"/>
  <c r="G29" i="3"/>
  <c r="F12" i="3"/>
  <c r="F14" i="3" s="1"/>
  <c r="F27" i="3" s="1"/>
  <c r="F29" i="3" l="1"/>
  <c r="F30" i="3" l="1"/>
  <c r="G30" i="3" s="1"/>
  <c r="B38" i="3"/>
  <c r="B37" i="3"/>
  <c r="F11" i="1"/>
  <c r="D11" i="1"/>
  <c r="B6" i="1"/>
  <c r="C25" i="1" l="1"/>
  <c r="D25" i="1"/>
  <c r="E25" i="1"/>
  <c r="F25" i="1"/>
  <c r="G25" i="1"/>
  <c r="G18" i="1"/>
  <c r="F18" i="1"/>
  <c r="E18" i="1"/>
  <c r="D18" i="1"/>
  <c r="C18" i="1"/>
  <c r="B18" i="1"/>
  <c r="G17" i="1"/>
  <c r="F17" i="1"/>
  <c r="E17" i="1"/>
  <c r="D17" i="1"/>
  <c r="C17" i="1"/>
  <c r="B17" i="1"/>
  <c r="F16" i="1"/>
  <c r="D16" i="1"/>
  <c r="B16" i="1"/>
  <c r="G10" i="1"/>
  <c r="G8" i="1"/>
  <c r="F10" i="1"/>
  <c r="F8" i="1"/>
  <c r="E10" i="1"/>
  <c r="D10" i="1"/>
  <c r="C10" i="1"/>
  <c r="C8" i="1"/>
  <c r="G11" i="1"/>
  <c r="B7" i="1"/>
  <c r="G6" i="1"/>
  <c r="F6" i="1"/>
  <c r="E6" i="1"/>
  <c r="D6" i="1"/>
  <c r="C6" i="1"/>
  <c r="L13" i="1"/>
  <c r="M12" i="1"/>
  <c r="N12" i="1" s="1"/>
  <c r="Q12" i="1" s="1"/>
  <c r="C4" i="1" s="1"/>
  <c r="P7" i="1"/>
  <c r="O7" i="1"/>
  <c r="P6" i="1"/>
  <c r="O6" i="1"/>
  <c r="P5" i="1"/>
  <c r="O5" i="1"/>
  <c r="P4" i="1"/>
  <c r="O4" i="1"/>
  <c r="L5" i="1"/>
  <c r="L6" i="1" s="1"/>
  <c r="M7" i="1" s="1"/>
  <c r="P3" i="1"/>
  <c r="O3" i="1"/>
  <c r="M3" i="1"/>
  <c r="N3" i="1" s="1"/>
  <c r="M13" i="1" l="1"/>
  <c r="L14" i="1"/>
  <c r="B25" i="1"/>
  <c r="D19" i="1"/>
  <c r="D9" i="1"/>
  <c r="B14" i="1"/>
  <c r="C19" i="1"/>
  <c r="E9" i="1"/>
  <c r="F9" i="1"/>
  <c r="B19" i="1"/>
  <c r="G19" i="1"/>
  <c r="M5" i="1"/>
  <c r="N5" i="1" s="1"/>
  <c r="Q5" i="1" s="1"/>
  <c r="E3" i="1" s="1"/>
  <c r="C9" i="1"/>
  <c r="G9" i="1"/>
  <c r="F19" i="1"/>
  <c r="M4" i="1"/>
  <c r="N4" i="1" s="1"/>
  <c r="E19" i="1"/>
  <c r="N13" i="1"/>
  <c r="Q13" i="1" s="1"/>
  <c r="D4" i="1" s="1"/>
  <c r="N7" i="1"/>
  <c r="Q7" i="1" s="1"/>
  <c r="G3" i="1" s="1"/>
  <c r="Q3" i="1"/>
  <c r="C3" i="1" s="1"/>
  <c r="C12" i="1" s="1"/>
  <c r="M6" i="1"/>
  <c r="B26" i="1" l="1"/>
  <c r="C14" i="1"/>
  <c r="Q4" i="1"/>
  <c r="D3" i="1" s="1"/>
  <c r="D12" i="1" s="1"/>
  <c r="N6" i="1"/>
  <c r="Q6" i="1" s="1"/>
  <c r="M14" i="1"/>
  <c r="L15" i="1"/>
  <c r="B27" i="1" l="1"/>
  <c r="D14" i="1"/>
  <c r="C26" i="1"/>
  <c r="Q8" i="1"/>
  <c r="F3" i="1"/>
  <c r="N14" i="1"/>
  <c r="Q14" i="1" s="1"/>
  <c r="E4" i="1" s="1"/>
  <c r="E12" i="1" s="1"/>
  <c r="L16" i="1"/>
  <c r="M16" i="1" s="1"/>
  <c r="M15" i="1"/>
  <c r="C27" i="1" l="1"/>
  <c r="E14" i="1"/>
  <c r="D26" i="1"/>
  <c r="N16" i="1"/>
  <c r="Q16" i="1" s="1"/>
  <c r="G4" i="1" s="1"/>
  <c r="G12" i="1" s="1"/>
  <c r="N15" i="1"/>
  <c r="Q15" i="1" s="1"/>
  <c r="F4" i="1" s="1"/>
  <c r="F12" i="1" l="1"/>
  <c r="F14" i="1" s="1"/>
  <c r="D27" i="1"/>
  <c r="E26" i="1"/>
  <c r="G14" i="1"/>
  <c r="Q17" i="1"/>
  <c r="Q19" i="1" s="1"/>
  <c r="G26" i="1" l="1"/>
  <c r="F26" i="1"/>
  <c r="E27" i="1"/>
  <c r="F27" i="1" l="1"/>
  <c r="G27" i="1" s="1"/>
</calcChain>
</file>

<file path=xl/sharedStrings.xml><?xml version="1.0" encoding="utf-8"?>
<sst xmlns="http://schemas.openxmlformats.org/spreadsheetml/2006/main" count="113" uniqueCount="63">
  <si>
    <t>Показатель</t>
  </si>
  <si>
    <t>Операционная деятельность</t>
  </si>
  <si>
    <t>Поступления от продаж</t>
  </si>
  <si>
    <t xml:space="preserve">Реклама </t>
  </si>
  <si>
    <t xml:space="preserve">Текущие затраты </t>
  </si>
  <si>
    <t>Зарплата разработчикам</t>
  </si>
  <si>
    <t>Зарплата менеджерам</t>
  </si>
  <si>
    <t>Аренда и содержание офиса</t>
  </si>
  <si>
    <t>Денежный поток по операционной деятельности</t>
  </si>
  <si>
    <t>Инвестиционная деятельность</t>
  </si>
  <si>
    <t>Приобретение компьютера</t>
  </si>
  <si>
    <t>Аренда сервера</t>
  </si>
  <si>
    <t>Покупка виртуального номера</t>
  </si>
  <si>
    <t>Денежный поток по инвестиционной деятельности</t>
  </si>
  <si>
    <t>Финансовая деятельность</t>
  </si>
  <si>
    <t>Поступление кредита</t>
  </si>
  <si>
    <t>Возврат кредита</t>
  </si>
  <si>
    <t>Сотрудник поддержки</t>
  </si>
  <si>
    <t>Выплаты процентов по кредиту</t>
  </si>
  <si>
    <t>Собственные средства</t>
  </si>
  <si>
    <t>Грант "Росмолодежь"</t>
  </si>
  <si>
    <t>Акселерационная программа "Цифра"</t>
  </si>
  <si>
    <t xml:space="preserve">Денежный поток по финансовой деятельности </t>
  </si>
  <si>
    <t>Чистый денежный поток</t>
  </si>
  <si>
    <t>Денежные средства на конец периода</t>
  </si>
  <si>
    <t>Период прогнозирования</t>
  </si>
  <si>
    <t>B2C и B2B сектора</t>
  </si>
  <si>
    <t>Год</t>
  </si>
  <si>
    <t>Количество пользователей</t>
  </si>
  <si>
    <t>Количество броней</t>
  </si>
  <si>
    <t>Количество подписок</t>
  </si>
  <si>
    <t>Стоимость брони</t>
  </si>
  <si>
    <t>Стоимость подписки</t>
  </si>
  <si>
    <t>Итого</t>
  </si>
  <si>
    <t>Итого за 5 лет</t>
  </si>
  <si>
    <t>Реклама</t>
  </si>
  <si>
    <t>Количество просмотров</t>
  </si>
  <si>
    <t>Количество переходов</t>
  </si>
  <si>
    <t>Стоимость просмотра</t>
  </si>
  <si>
    <t>Стоимость перехода</t>
  </si>
  <si>
    <t>Коэффициент дисконтирования</t>
  </si>
  <si>
    <t>Дисконтированный денежный поток</t>
  </si>
  <si>
    <t>Дисконтированный денежный поток накопленным итогом</t>
  </si>
  <si>
    <t>Ставка дисконтирования</t>
  </si>
  <si>
    <t>Безрисковая ставка</t>
  </si>
  <si>
    <t>Попрвка на риск</t>
  </si>
  <si>
    <t>Ставка дисконтирования, %</t>
  </si>
  <si>
    <t>Страховые взносы</t>
  </si>
  <si>
    <t>Налог на доход</t>
  </si>
  <si>
    <t>NVP</t>
  </si>
  <si>
    <t>Срок окупаемости</t>
  </si>
  <si>
    <t>Индекс доходности</t>
  </si>
  <si>
    <t>PAM</t>
  </si>
  <si>
    <t>TAM</t>
  </si>
  <si>
    <t>SAM</t>
  </si>
  <si>
    <t>SOM</t>
  </si>
  <si>
    <t>Гранты</t>
  </si>
  <si>
    <t>Размер комиссии</t>
  </si>
  <si>
    <t>Путешествующие жители России, млн</t>
  </si>
  <si>
    <t>Путешествующие жители России, пользующиеся сервисами онлайн-бронирования, млн</t>
  </si>
  <si>
    <t>Путешествующие жители России, пользующиеся сайтами для бронирования, млн</t>
  </si>
  <si>
    <t>Путешествующие жители России, бронирующие номера через сайты, тыс</t>
  </si>
  <si>
    <t>5% от рынка SOM, тыс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</si>
</sst>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1" fontId="0" fillId="0" borderId="0" xfId="0" applyNumberFormat="1"/>
    <xf numFmtId="0" fontId="4" fillId="2" borderId="7" xfId="0" applyFont="1" applyFill="1" applyBorder="1"/>
    <xf numFmtId="0" fontId="3" fillId="4" borderId="8" xfId="0" applyFont="1" applyFill="1" applyBorder="1"/>
    <xf numFmtId="164" fontId="0" fillId="4" borderId="11" xfId="0" applyNumberFormat="1" applyFill="1" applyBorder="1"/>
    <xf numFmtId="0" fontId="3" fillId="4" borderId="7" xfId="0" applyFont="1" applyFill="1" applyBorder="1"/>
    <xf numFmtId="9" fontId="0" fillId="4" borderId="4" xfId="0" applyNumberFormat="1" applyFill="1" applyBorder="1"/>
    <xf numFmtId="0" fontId="0" fillId="4" borderId="4" xfId="0" applyFill="1" applyBorder="1"/>
    <xf numFmtId="0" fontId="0" fillId="3" borderId="21" xfId="0" applyFill="1" applyBorder="1"/>
    <xf numFmtId="0" fontId="0" fillId="3" borderId="26" xfId="0" applyFill="1" applyBorder="1"/>
    <xf numFmtId="1" fontId="0" fillId="3" borderId="35" xfId="0" applyNumberFormat="1" applyFill="1" applyBorder="1"/>
    <xf numFmtId="1" fontId="0" fillId="3" borderId="28" xfId="0" applyNumberFormat="1" applyFill="1" applyBorder="1"/>
    <xf numFmtId="1" fontId="0" fillId="3" borderId="29" xfId="0" applyNumberFormat="1" applyFill="1" applyBorder="1"/>
    <xf numFmtId="1" fontId="0" fillId="3" borderId="36" xfId="0" applyNumberFormat="1" applyFill="1" applyBorder="1"/>
    <xf numFmtId="1" fontId="0" fillId="3" borderId="22" xfId="0" applyNumberFormat="1" applyFill="1" applyBorder="1"/>
    <xf numFmtId="1" fontId="0" fillId="3" borderId="23" xfId="0" applyNumberFormat="1" applyFill="1" applyBorder="1"/>
    <xf numFmtId="0" fontId="0" fillId="4" borderId="34" xfId="0" applyFill="1" applyBorder="1"/>
    <xf numFmtId="0" fontId="0" fillId="4" borderId="17" xfId="0" applyFill="1" applyBorder="1"/>
    <xf numFmtId="0" fontId="0" fillId="4" borderId="21" xfId="0" applyFill="1" applyBorder="1"/>
    <xf numFmtId="1" fontId="0" fillId="4" borderId="13" xfId="0" applyNumberFormat="1" applyFill="1" applyBorder="1"/>
    <xf numFmtId="1" fontId="0" fillId="4" borderId="25" xfId="0" applyNumberFormat="1" applyFill="1" applyBorder="1"/>
    <xf numFmtId="1" fontId="0" fillId="4" borderId="11" xfId="0" applyNumberFormat="1" applyFill="1" applyBorder="1"/>
    <xf numFmtId="0" fontId="0" fillId="4" borderId="26" xfId="0" applyFill="1" applyBorder="1"/>
    <xf numFmtId="1" fontId="0" fillId="4" borderId="35" xfId="0" applyNumberFormat="1" applyFill="1" applyBorder="1"/>
    <xf numFmtId="1" fontId="0" fillId="4" borderId="28" xfId="0" applyNumberFormat="1" applyFill="1" applyBorder="1"/>
    <xf numFmtId="1" fontId="0" fillId="4" borderId="29" xfId="0" applyNumberFormat="1" applyFill="1" applyBorder="1"/>
    <xf numFmtId="0" fontId="0" fillId="4" borderId="6" xfId="0" applyFill="1" applyBorder="1"/>
    <xf numFmtId="0" fontId="5" fillId="4" borderId="26" xfId="0" applyFont="1" applyFill="1" applyBorder="1" applyAlignment="1">
      <alignment horizontal="right"/>
    </xf>
    <xf numFmtId="1" fontId="0" fillId="4" borderId="33" xfId="0" applyNumberFormat="1" applyFill="1" applyBorder="1"/>
    <xf numFmtId="1" fontId="5" fillId="4" borderId="28" xfId="0" applyNumberFormat="1" applyFont="1" applyFill="1" applyBorder="1"/>
    <xf numFmtId="1" fontId="5" fillId="4" borderId="29" xfId="0" applyNumberFormat="1" applyFont="1" applyFill="1" applyBorder="1"/>
    <xf numFmtId="0" fontId="4" fillId="4" borderId="7" xfId="0" applyFont="1" applyFill="1" applyBorder="1" applyAlignment="1">
      <alignment wrapText="1"/>
    </xf>
    <xf numFmtId="1" fontId="0" fillId="4" borderId="15" xfId="0" applyNumberFormat="1" applyFill="1" applyBorder="1"/>
    <xf numFmtId="1" fontId="0" fillId="4" borderId="17" xfId="0" applyNumberFormat="1" applyFill="1" applyBorder="1"/>
    <xf numFmtId="1" fontId="0" fillId="4" borderId="4" xfId="0" applyNumberFormat="1" applyFill="1" applyBorder="1"/>
    <xf numFmtId="1" fontId="0" fillId="4" borderId="35" xfId="0" applyNumberFormat="1" applyFill="1" applyBorder="1" applyAlignment="1">
      <alignment wrapText="1"/>
    </xf>
    <xf numFmtId="1" fontId="0" fillId="4" borderId="28" xfId="0" applyNumberFormat="1" applyFill="1" applyBorder="1" applyAlignment="1">
      <alignment wrapText="1"/>
    </xf>
    <xf numFmtId="1" fontId="0" fillId="4" borderId="33" xfId="0" applyNumberFormat="1" applyFill="1" applyBorder="1" applyAlignment="1">
      <alignment wrapText="1"/>
    </xf>
    <xf numFmtId="1" fontId="0" fillId="4" borderId="27" xfId="0" applyNumberFormat="1" applyFill="1" applyBorder="1" applyAlignment="1">
      <alignment wrapText="1"/>
    </xf>
    <xf numFmtId="1" fontId="0" fillId="4" borderId="16" xfId="0" applyNumberFormat="1" applyFill="1" applyBorder="1"/>
    <xf numFmtId="1" fontId="0" fillId="4" borderId="18" xfId="0" applyNumberFormat="1" applyFill="1" applyBorder="1"/>
    <xf numFmtId="1" fontId="0" fillId="4" borderId="2" xfId="0" applyNumberFormat="1" applyFill="1" applyBorder="1"/>
    <xf numFmtId="1" fontId="0" fillId="4" borderId="12" xfId="0" applyNumberFormat="1" applyFill="1" applyBorder="1"/>
    <xf numFmtId="1" fontId="0" fillId="4" borderId="1" xfId="0" applyNumberFormat="1" applyFill="1" applyBorder="1"/>
    <xf numFmtId="1" fontId="0" fillId="4" borderId="14" xfId="0" applyNumberFormat="1" applyFill="1" applyBorder="1"/>
    <xf numFmtId="1" fontId="0" fillId="4" borderId="37" xfId="0" applyNumberFormat="1" applyFill="1" applyBorder="1"/>
    <xf numFmtId="0" fontId="0" fillId="4" borderId="16" xfId="0" applyFill="1" applyBorder="1"/>
    <xf numFmtId="0" fontId="0" fillId="4" borderId="18" xfId="0" applyFill="1" applyBorder="1"/>
    <xf numFmtId="0" fontId="0" fillId="4" borderId="3" xfId="0" applyFill="1" applyBorder="1"/>
    <xf numFmtId="1" fontId="0" fillId="4" borderId="7" xfId="0" applyNumberFormat="1" applyFill="1" applyBorder="1"/>
    <xf numFmtId="0" fontId="3" fillId="2" borderId="1" xfId="0" applyFont="1" applyFill="1" applyBorder="1"/>
    <xf numFmtId="0" fontId="0" fillId="2" borderId="12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" fontId="0" fillId="4" borderId="20" xfId="0" applyNumberFormat="1" applyFill="1" applyBorder="1"/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/>
    <xf numFmtId="0" fontId="4" fillId="2" borderId="8" xfId="0" applyFont="1" applyFill="1" applyBorder="1"/>
    <xf numFmtId="0" fontId="4" fillId="2" borderId="6" xfId="0" applyFont="1" applyFill="1" applyBorder="1"/>
    <xf numFmtId="0" fontId="4" fillId="2" borderId="1" xfId="0" applyFont="1" applyFill="1" applyBorder="1" applyAlignment="1">
      <alignment wrapText="1"/>
    </xf>
    <xf numFmtId="0" fontId="0" fillId="4" borderId="24" xfId="0" applyFill="1" applyBorder="1"/>
    <xf numFmtId="0" fontId="0" fillId="4" borderId="25" xfId="0" applyFill="1" applyBorder="1"/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0" fillId="4" borderId="12" xfId="0" applyFill="1" applyBorder="1"/>
    <xf numFmtId="0" fontId="0" fillId="4" borderId="19" xfId="0" applyFill="1" applyBorder="1"/>
    <xf numFmtId="0" fontId="0" fillId="4" borderId="20" xfId="0" applyFill="1" applyBorder="1"/>
    <xf numFmtId="0" fontId="4" fillId="2" borderId="1" xfId="0" applyFont="1" applyFill="1" applyBorder="1"/>
    <xf numFmtId="0" fontId="4" fillId="2" borderId="7" xfId="0" applyFont="1" applyFill="1" applyBorder="1" applyAlignment="1">
      <alignment wrapText="1"/>
    </xf>
    <xf numFmtId="1" fontId="7" fillId="4" borderId="28" xfId="0" applyNumberFormat="1" applyFont="1" applyFill="1" applyBorder="1"/>
    <xf numFmtId="1" fontId="7" fillId="4" borderId="29" xfId="0" applyNumberFormat="1" applyFont="1" applyFill="1" applyBorder="1"/>
    <xf numFmtId="0" fontId="5" fillId="4" borderId="21" xfId="0" applyFont="1" applyFill="1" applyBorder="1" applyAlignment="1">
      <alignment horizontal="right"/>
    </xf>
    <xf numFmtId="1" fontId="0" fillId="4" borderId="36" xfId="0" applyNumberFormat="1" applyFill="1" applyBorder="1"/>
    <xf numFmtId="1" fontId="5" fillId="4" borderId="22" xfId="0" applyNumberFormat="1" applyFont="1" applyFill="1" applyBorder="1"/>
    <xf numFmtId="1" fontId="7" fillId="4" borderId="25" xfId="0" applyNumberFormat="1" applyFont="1" applyFill="1" applyBorder="1"/>
    <xf numFmtId="1" fontId="7" fillId="4" borderId="35" xfId="0" applyNumberFormat="1" applyFont="1" applyFill="1" applyBorder="1"/>
    <xf numFmtId="1" fontId="5" fillId="4" borderId="40" xfId="0" applyNumberFormat="1" applyFont="1" applyFill="1" applyBorder="1"/>
    <xf numFmtId="0" fontId="3" fillId="0" borderId="0" xfId="0" applyFont="1"/>
    <xf numFmtId="0" fontId="6" fillId="0" borderId="0" xfId="0" applyFont="1" applyAlignment="1">
      <alignment vertical="center" textRotation="90"/>
    </xf>
    <xf numFmtId="0" fontId="3" fillId="2" borderId="7" xfId="0" applyFont="1" applyFill="1" applyBorder="1"/>
    <xf numFmtId="0" fontId="0" fillId="4" borderId="38" xfId="0" applyFill="1" applyBorder="1"/>
    <xf numFmtId="1" fontId="0" fillId="4" borderId="26" xfId="0" applyNumberFormat="1" applyFill="1" applyBorder="1"/>
    <xf numFmtId="0" fontId="0" fillId="4" borderId="10" xfId="0" applyFill="1" applyBorder="1"/>
    <xf numFmtId="0" fontId="0" fillId="4" borderId="8" xfId="0" applyFill="1" applyBorder="1"/>
    <xf numFmtId="164" fontId="0" fillId="2" borderId="4" xfId="0" applyNumberFormat="1" applyFill="1" applyBorder="1"/>
    <xf numFmtId="0" fontId="7" fillId="4" borderId="12" xfId="0" applyFont="1" applyFill="1" applyBorder="1"/>
    <xf numFmtId="0" fontId="0" fillId="0" borderId="0" xfId="0" applyNumberFormat="1"/>
    <xf numFmtId="0" fontId="2" fillId="4" borderId="7" xfId="0" applyFont="1" applyFill="1" applyBorder="1"/>
    <xf numFmtId="0" fontId="2" fillId="4" borderId="8" xfId="0" applyFont="1" applyFill="1" applyBorder="1"/>
    <xf numFmtId="0" fontId="2" fillId="4" borderId="26" xfId="0" applyFont="1" applyFill="1" applyBorder="1"/>
    <xf numFmtId="1" fontId="0" fillId="4" borderId="8" xfId="0" applyNumberFormat="1" applyFill="1" applyBorder="1"/>
    <xf numFmtId="1" fontId="0" fillId="2" borderId="4" xfId="0" applyNumberFormat="1" applyFill="1" applyBorder="1"/>
    <xf numFmtId="165" fontId="0" fillId="4" borderId="4" xfId="0" applyNumberFormat="1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" fontId="0" fillId="4" borderId="30" xfId="0" applyNumberFormat="1" applyFill="1" applyBorder="1" applyAlignment="1">
      <alignment horizontal="center"/>
    </xf>
    <xf numFmtId="1" fontId="0" fillId="4" borderId="31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/>
    </xf>
    <xf numFmtId="0" fontId="6" fillId="2" borderId="6" xfId="0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 vertical="center" textRotation="90"/>
    </xf>
    <xf numFmtId="0" fontId="4" fillId="2" borderId="3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/>
    <xf numFmtId="0" fontId="0" fillId="2" borderId="7" xfId="0" applyFill="1" applyBorder="1"/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2" borderId="8" xfId="0" applyFill="1" applyBorder="1"/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2" borderId="26" xfId="0" applyFill="1" applyBorder="1"/>
    <xf numFmtId="0" fontId="0" fillId="4" borderId="3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2" fontId="0" fillId="4" borderId="26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zoomScaleNormal="100" workbookViewId="0">
      <selection activeCell="H19" sqref="H19"/>
    </sheetView>
  </sheetViews>
  <sheetFormatPr defaultRowHeight="14.4" x14ac:dyDescent="0.3"/>
  <cols>
    <col min="1" max="1" width="34.77734375" customWidth="1"/>
    <col min="2" max="2" width="9.44140625" bestFit="1" customWidth="1"/>
    <col min="3" max="5" width="10.88671875" bestFit="1" customWidth="1"/>
    <col min="6" max="7" width="11.88671875" bestFit="1" customWidth="1"/>
    <col min="11" max="12" width="14.5546875" customWidth="1"/>
    <col min="13" max="13" width="12.33203125" customWidth="1"/>
    <col min="14" max="14" width="13.77734375" customWidth="1"/>
    <col min="15" max="15" width="13.21875" customWidth="1"/>
    <col min="16" max="16" width="13.109375" bestFit="1" customWidth="1"/>
    <col min="17" max="17" width="12.5546875" customWidth="1"/>
  </cols>
  <sheetData>
    <row r="1" spans="1:17" ht="15" thickBot="1" x14ac:dyDescent="0.35">
      <c r="A1" s="60" t="s">
        <v>0</v>
      </c>
      <c r="B1" s="98" t="s">
        <v>25</v>
      </c>
      <c r="C1" s="99"/>
      <c r="D1" s="99"/>
      <c r="E1" s="99"/>
      <c r="F1" s="99"/>
      <c r="G1" s="100"/>
    </row>
    <row r="2" spans="1:17" ht="50.4" customHeight="1" thickBot="1" x14ac:dyDescent="0.35">
      <c r="A2" s="61" t="s">
        <v>1</v>
      </c>
      <c r="B2" s="16">
        <v>0</v>
      </c>
      <c r="C2" s="17">
        <v>1</v>
      </c>
      <c r="D2" s="17">
        <v>2</v>
      </c>
      <c r="E2" s="17">
        <v>3</v>
      </c>
      <c r="F2" s="17">
        <v>4</v>
      </c>
      <c r="G2" s="7">
        <v>5</v>
      </c>
      <c r="J2" s="105" t="s">
        <v>26</v>
      </c>
      <c r="K2" s="51" t="s">
        <v>27</v>
      </c>
      <c r="L2" s="52" t="s">
        <v>28</v>
      </c>
      <c r="M2" s="52" t="s">
        <v>29</v>
      </c>
      <c r="N2" s="52" t="s">
        <v>30</v>
      </c>
      <c r="O2" s="52" t="s">
        <v>31</v>
      </c>
      <c r="P2" s="53" t="s">
        <v>32</v>
      </c>
      <c r="Q2" s="54" t="s">
        <v>33</v>
      </c>
    </row>
    <row r="3" spans="1:17" x14ac:dyDescent="0.3">
      <c r="A3" s="18" t="s">
        <v>2</v>
      </c>
      <c r="B3" s="19">
        <v>0</v>
      </c>
      <c r="C3" s="20">
        <f>Q3</f>
        <v>2983050</v>
      </c>
      <c r="D3" s="20">
        <f>Q4</f>
        <v>4246389</v>
      </c>
      <c r="E3" s="79">
        <f>Q5</f>
        <v>1627713.3600000003</v>
      </c>
      <c r="F3" s="20">
        <f>Q6</f>
        <v>8483173.965504</v>
      </c>
      <c r="G3" s="21">
        <f>Q7</f>
        <v>20130915.855093122</v>
      </c>
      <c r="J3" s="106"/>
      <c r="K3" s="64">
        <v>1</v>
      </c>
      <c r="L3" s="65">
        <v>63000</v>
      </c>
      <c r="M3" s="20">
        <f>L3*0.025</f>
        <v>1575</v>
      </c>
      <c r="N3" s="20">
        <f>M3*0.5</f>
        <v>787.5</v>
      </c>
      <c r="O3" s="65">
        <f>5000*0.2</f>
        <v>1000</v>
      </c>
      <c r="P3" s="87">
        <f>149*12</f>
        <v>1788</v>
      </c>
      <c r="Q3" s="88">
        <f>M3*O3+N3*P3</f>
        <v>2983050</v>
      </c>
    </row>
    <row r="4" spans="1:17" x14ac:dyDescent="0.3">
      <c r="A4" s="22" t="s">
        <v>3</v>
      </c>
      <c r="B4" s="23">
        <v>0</v>
      </c>
      <c r="C4" s="24">
        <f>Q12</f>
        <v>374850</v>
      </c>
      <c r="D4" s="24">
        <f>Q13</f>
        <v>129654</v>
      </c>
      <c r="E4" s="24">
        <f>Q14</f>
        <v>133358.39999999999</v>
      </c>
      <c r="F4" s="24">
        <f>Q15</f>
        <v>257603.97600000002</v>
      </c>
      <c r="G4" s="25">
        <f>Q16</f>
        <v>770846.00292</v>
      </c>
      <c r="J4" s="106"/>
      <c r="K4" s="66">
        <v>2</v>
      </c>
      <c r="L4" s="24">
        <f>L3-L3*0.5+L3*0.2</f>
        <v>44100</v>
      </c>
      <c r="M4" s="24">
        <f>L4*0.05</f>
        <v>2205</v>
      </c>
      <c r="N4" s="24">
        <f>M4*0.35</f>
        <v>771.75</v>
      </c>
      <c r="O4" s="67">
        <f>6500*0.2</f>
        <v>1300</v>
      </c>
      <c r="P4" s="85">
        <f>149*12</f>
        <v>1788</v>
      </c>
      <c r="Q4" s="22">
        <f>M4*O4+N4*P4</f>
        <v>4246389</v>
      </c>
    </row>
    <row r="5" spans="1:17" x14ac:dyDescent="0.3">
      <c r="A5" s="26" t="s">
        <v>4</v>
      </c>
      <c r="B5" s="101"/>
      <c r="C5" s="101"/>
      <c r="D5" s="101"/>
      <c r="E5" s="101"/>
      <c r="F5" s="101"/>
      <c r="G5" s="102"/>
      <c r="J5" s="106"/>
      <c r="K5" s="66">
        <v>3</v>
      </c>
      <c r="L5" s="24">
        <f>L4-L4*0.4</f>
        <v>26460</v>
      </c>
      <c r="M5" s="24">
        <f>L5*0.035</f>
        <v>926.10000000000014</v>
      </c>
      <c r="N5" s="24">
        <f>M5*0.2</f>
        <v>185.22000000000003</v>
      </c>
      <c r="O5" s="67">
        <f>7000*0.2</f>
        <v>1400</v>
      </c>
      <c r="P5" s="85">
        <f>149*12</f>
        <v>1788</v>
      </c>
      <c r="Q5" s="86">
        <f>M5*O5+N5*P5</f>
        <v>1627713.3600000003</v>
      </c>
    </row>
    <row r="6" spans="1:17" x14ac:dyDescent="0.3">
      <c r="A6" s="27" t="s">
        <v>3</v>
      </c>
      <c r="B6" s="80">
        <f>-150000</f>
        <v>-150000</v>
      </c>
      <c r="C6" s="24">
        <f>-30000*12</f>
        <v>-360000</v>
      </c>
      <c r="D6" s="24">
        <f>-30000*12</f>
        <v>-360000</v>
      </c>
      <c r="E6" s="24">
        <f>-20000*12</f>
        <v>-240000</v>
      </c>
      <c r="F6" s="24">
        <f>-50000*12</f>
        <v>-600000</v>
      </c>
      <c r="G6" s="28">
        <f>-70000*12</f>
        <v>-840000</v>
      </c>
      <c r="J6" s="106"/>
      <c r="K6" s="66">
        <v>4</v>
      </c>
      <c r="L6" s="24">
        <f>L5+L5*0.83</f>
        <v>48421.8</v>
      </c>
      <c r="M6" s="24">
        <f>L6*0.054</f>
        <v>2614.7772</v>
      </c>
      <c r="N6" s="24">
        <f>M6*0.64</f>
        <v>1673.457408</v>
      </c>
      <c r="O6" s="67">
        <f>7000*0.3</f>
        <v>2100</v>
      </c>
      <c r="P6" s="85">
        <f>149*12</f>
        <v>1788</v>
      </c>
      <c r="Q6" s="86">
        <f>M6*O6+N6*P6</f>
        <v>8483173.965504</v>
      </c>
    </row>
    <row r="7" spans="1:17" ht="15" thickBot="1" x14ac:dyDescent="0.35">
      <c r="A7" s="27" t="s">
        <v>5</v>
      </c>
      <c r="B7" s="80">
        <f>-2*150000</f>
        <v>-300000</v>
      </c>
      <c r="C7" s="74">
        <v>0</v>
      </c>
      <c r="D7" s="74">
        <v>0</v>
      </c>
      <c r="E7" s="74">
        <v>0</v>
      </c>
      <c r="F7" s="74">
        <v>0</v>
      </c>
      <c r="G7" s="75">
        <v>0</v>
      </c>
      <c r="J7" s="107"/>
      <c r="K7" s="46">
        <v>5</v>
      </c>
      <c r="L7" s="40">
        <f>L6-L6*0.05+L6*0.71</f>
        <v>80380.188000000009</v>
      </c>
      <c r="M7" s="40">
        <f>L7*0.066</f>
        <v>5305.0924080000004</v>
      </c>
      <c r="N7" s="40">
        <f>M7*0.78</f>
        <v>4137.9720782400009</v>
      </c>
      <c r="O7" s="47">
        <f>8000*0.3</f>
        <v>2400</v>
      </c>
      <c r="P7" s="48">
        <f>149*12</f>
        <v>1788</v>
      </c>
      <c r="Q7" s="49">
        <f>M7*O7+N7*P7</f>
        <v>20130915.855093122</v>
      </c>
    </row>
    <row r="8" spans="1:17" ht="15" thickBot="1" x14ac:dyDescent="0.35">
      <c r="A8" s="27" t="s">
        <v>6</v>
      </c>
      <c r="B8" s="23">
        <v>0</v>
      </c>
      <c r="C8" s="29">
        <f>-25000*12*2</f>
        <v>-600000</v>
      </c>
      <c r="D8" s="29">
        <f>-25000*12*2</f>
        <v>-600000</v>
      </c>
      <c r="E8" s="29">
        <f>-25000*12</f>
        <v>-300000</v>
      </c>
      <c r="F8" s="29">
        <f>-25000*12*5</f>
        <v>-1500000</v>
      </c>
      <c r="G8" s="30">
        <f>-25000*12*8</f>
        <v>-2400000</v>
      </c>
      <c r="L8" s="1"/>
      <c r="M8" s="1"/>
      <c r="N8" s="1"/>
      <c r="P8" s="50" t="s">
        <v>34</v>
      </c>
      <c r="Q8" s="55">
        <f>SUM(Q3:Q7)</f>
        <v>37471242.180597119</v>
      </c>
    </row>
    <row r="9" spans="1:17" x14ac:dyDescent="0.3">
      <c r="A9" s="27" t="s">
        <v>47</v>
      </c>
      <c r="B9" s="23">
        <f>0.3*B7</f>
        <v>-90000</v>
      </c>
      <c r="C9" s="23">
        <f>0.3*C8</f>
        <v>-180000</v>
      </c>
      <c r="D9" s="23">
        <f t="shared" ref="D9:G9" si="0">0.3*D8</f>
        <v>-180000</v>
      </c>
      <c r="E9" s="23">
        <f t="shared" si="0"/>
        <v>-90000</v>
      </c>
      <c r="F9" s="23">
        <f t="shared" si="0"/>
        <v>-450000</v>
      </c>
      <c r="G9" s="25">
        <f t="shared" si="0"/>
        <v>-720000</v>
      </c>
      <c r="L9" s="1"/>
      <c r="M9" s="1"/>
      <c r="N9" s="1"/>
      <c r="P9" s="82"/>
      <c r="Q9" s="1"/>
    </row>
    <row r="10" spans="1:17" ht="15" thickBot="1" x14ac:dyDescent="0.35">
      <c r="A10" s="27" t="s">
        <v>7</v>
      </c>
      <c r="B10" s="23">
        <v>0</v>
      </c>
      <c r="C10" s="29">
        <f>-30000*12</f>
        <v>-360000</v>
      </c>
      <c r="D10" s="29">
        <f>-30000*12</f>
        <v>-360000</v>
      </c>
      <c r="E10" s="29">
        <f>-20000*12</f>
        <v>-240000</v>
      </c>
      <c r="F10" s="29">
        <f>-40000*12</f>
        <v>-480000</v>
      </c>
      <c r="G10" s="30">
        <f>-50000*12</f>
        <v>-600000</v>
      </c>
    </row>
    <row r="11" spans="1:17" ht="40.799999999999997" customHeight="1" x14ac:dyDescent="0.3">
      <c r="A11" s="27" t="s">
        <v>17</v>
      </c>
      <c r="B11" s="23">
        <v>0</v>
      </c>
      <c r="C11" s="29">
        <f>-3000*2*12</f>
        <v>-72000</v>
      </c>
      <c r="D11" s="29">
        <f>-3000*2*12</f>
        <v>-72000</v>
      </c>
      <c r="E11" s="29">
        <v>0</v>
      </c>
      <c r="F11" s="29">
        <f>-5000*2*12</f>
        <v>-120000</v>
      </c>
      <c r="G11" s="30">
        <f>-5000*12</f>
        <v>-60000</v>
      </c>
      <c r="J11" s="108" t="s">
        <v>35</v>
      </c>
      <c r="K11" s="56" t="s">
        <v>27</v>
      </c>
      <c r="L11" s="57" t="s">
        <v>28</v>
      </c>
      <c r="M11" s="57" t="s">
        <v>36</v>
      </c>
      <c r="N11" s="57" t="s">
        <v>37</v>
      </c>
      <c r="O11" s="57" t="s">
        <v>38</v>
      </c>
      <c r="P11" s="58" t="s">
        <v>39</v>
      </c>
      <c r="Q11" s="59" t="s">
        <v>33</v>
      </c>
    </row>
    <row r="12" spans="1:17" ht="40.799999999999997" customHeight="1" x14ac:dyDescent="0.3">
      <c r="A12" s="76" t="s">
        <v>48</v>
      </c>
      <c r="B12" s="77">
        <v>0</v>
      </c>
      <c r="C12" s="78">
        <f>-SUM(C3:C4)*0.06</f>
        <v>-201474</v>
      </c>
      <c r="D12" s="78">
        <f>-SUM(D3:D4)*0.06</f>
        <v>-262562.58</v>
      </c>
      <c r="E12" s="78">
        <f>-SUM(E3:E4)*0.06</f>
        <v>-105664.30560000001</v>
      </c>
      <c r="F12" s="78">
        <f>-SUM(F3:F4)*0.06</f>
        <v>-524446.67649023992</v>
      </c>
      <c r="G12" s="81">
        <f>-SUM(G3:G4)*0.06</f>
        <v>-1254105.7114807873</v>
      </c>
      <c r="H12" s="1"/>
      <c r="J12" s="109"/>
      <c r="K12" s="66">
        <v>1</v>
      </c>
      <c r="L12" s="67">
        <v>63000</v>
      </c>
      <c r="M12" s="24">
        <f>L12*0.7</f>
        <v>44100</v>
      </c>
      <c r="N12" s="24">
        <f>M12*0.1</f>
        <v>4410</v>
      </c>
      <c r="O12" s="67">
        <v>7</v>
      </c>
      <c r="P12" s="85">
        <v>15</v>
      </c>
      <c r="Q12" s="86">
        <f>M12*O12+N12*P12</f>
        <v>374850</v>
      </c>
    </row>
    <row r="13" spans="1:17" x14ac:dyDescent="0.3">
      <c r="A13" s="8" t="s">
        <v>18</v>
      </c>
      <c r="B13" s="13"/>
      <c r="C13" s="14"/>
      <c r="D13" s="14"/>
      <c r="E13" s="14"/>
      <c r="F13" s="14"/>
      <c r="G13" s="15"/>
      <c r="J13" s="109"/>
      <c r="K13" s="66">
        <v>2</v>
      </c>
      <c r="L13" s="24">
        <f>L12-L12*0.5+L12*0.2</f>
        <v>44100</v>
      </c>
      <c r="M13" s="24">
        <f>L13*0.6</f>
        <v>26460</v>
      </c>
      <c r="N13" s="24">
        <f>M13*0.1</f>
        <v>2646</v>
      </c>
      <c r="O13" s="67">
        <v>4</v>
      </c>
      <c r="P13" s="85">
        <v>9</v>
      </c>
      <c r="Q13" s="86">
        <f>M13*O13+N13*P13</f>
        <v>129654</v>
      </c>
    </row>
    <row r="14" spans="1:17" ht="29.4" thickBot="1" x14ac:dyDescent="0.35">
      <c r="A14" s="31" t="s">
        <v>8</v>
      </c>
      <c r="B14" s="32">
        <f t="shared" ref="B14:G14" si="1">SUM(B3:B4)+SUM(B6:B13)</f>
        <v>-540000</v>
      </c>
      <c r="C14" s="33">
        <f t="shared" si="1"/>
        <v>1584426</v>
      </c>
      <c r="D14" s="33">
        <f t="shared" si="1"/>
        <v>2541480.42</v>
      </c>
      <c r="E14" s="33">
        <f t="shared" si="1"/>
        <v>785407.45440000028</v>
      </c>
      <c r="F14" s="33">
        <f t="shared" si="1"/>
        <v>5066331.26501376</v>
      </c>
      <c r="G14" s="34">
        <f t="shared" si="1"/>
        <v>15027656.146532336</v>
      </c>
      <c r="J14" s="109"/>
      <c r="K14" s="66">
        <v>3</v>
      </c>
      <c r="L14" s="24">
        <f>L13-L13*0.4</f>
        <v>26460</v>
      </c>
      <c r="M14" s="24">
        <f>L14*0.7</f>
        <v>18522</v>
      </c>
      <c r="N14" s="24">
        <f>M14*0.2</f>
        <v>3704.4</v>
      </c>
      <c r="O14" s="67">
        <v>5</v>
      </c>
      <c r="P14" s="85">
        <v>11</v>
      </c>
      <c r="Q14" s="86">
        <f>M14*O14+N14*P14</f>
        <v>133358.39999999999</v>
      </c>
    </row>
    <row r="15" spans="1:17" x14ac:dyDescent="0.3">
      <c r="A15" s="61" t="s">
        <v>9</v>
      </c>
      <c r="B15" s="103"/>
      <c r="C15" s="103"/>
      <c r="D15" s="103"/>
      <c r="E15" s="103"/>
      <c r="F15" s="103"/>
      <c r="G15" s="104"/>
      <c r="J15" s="109"/>
      <c r="K15" s="66">
        <v>4</v>
      </c>
      <c r="L15" s="24">
        <f>L14+L14*0.83</f>
        <v>48421.8</v>
      </c>
      <c r="M15" s="24">
        <f>L15*0.7</f>
        <v>33895.26</v>
      </c>
      <c r="N15" s="24">
        <f>M15*0.2</f>
        <v>6779.0520000000006</v>
      </c>
      <c r="O15" s="67">
        <v>5</v>
      </c>
      <c r="P15" s="85">
        <v>13</v>
      </c>
      <c r="Q15" s="86">
        <f>M15*O15+N15*P15</f>
        <v>257603.97600000002</v>
      </c>
    </row>
    <row r="16" spans="1:17" ht="15" thickBot="1" x14ac:dyDescent="0.35">
      <c r="A16" s="22" t="s">
        <v>10</v>
      </c>
      <c r="B16" s="35">
        <f>-1*70000</f>
        <v>-70000</v>
      </c>
      <c r="C16" s="24"/>
      <c r="D16" s="24">
        <f>-2*70000</f>
        <v>-140000</v>
      </c>
      <c r="E16" s="24"/>
      <c r="F16" s="24">
        <f>-5*70000</f>
        <v>-350000</v>
      </c>
      <c r="G16" s="28"/>
      <c r="J16" s="110"/>
      <c r="K16" s="46">
        <v>5</v>
      </c>
      <c r="L16" s="40">
        <f>L15-L15*0.05+L15*0.71</f>
        <v>80380.188000000009</v>
      </c>
      <c r="M16" s="40">
        <f>L16*0.7</f>
        <v>56266.131600000001</v>
      </c>
      <c r="N16" s="40">
        <f>M16*0.3</f>
        <v>16879.839479999999</v>
      </c>
      <c r="O16" s="47">
        <v>8</v>
      </c>
      <c r="P16" s="48">
        <v>19</v>
      </c>
      <c r="Q16" s="49">
        <f>M16*O16+N16*P16</f>
        <v>770846.00292</v>
      </c>
    </row>
    <row r="17" spans="1:17" ht="15" thickBot="1" x14ac:dyDescent="0.35">
      <c r="A17" s="22" t="s">
        <v>11</v>
      </c>
      <c r="B17" s="35">
        <f>-30000</f>
        <v>-30000</v>
      </c>
      <c r="C17" s="36">
        <f>-30000</f>
        <v>-30000</v>
      </c>
      <c r="D17" s="36">
        <f>-30000</f>
        <v>-30000</v>
      </c>
      <c r="E17" s="24">
        <f>-20000</f>
        <v>-20000</v>
      </c>
      <c r="F17" s="24">
        <f>-40000</f>
        <v>-40000</v>
      </c>
      <c r="G17" s="28">
        <f>-40000</f>
        <v>-40000</v>
      </c>
      <c r="J17" s="83"/>
      <c r="P17" s="84" t="s">
        <v>34</v>
      </c>
      <c r="Q17" s="34">
        <f>SUM(Q12:Q16)</f>
        <v>1666312.37892</v>
      </c>
    </row>
    <row r="18" spans="1:17" ht="15" thickBot="1" x14ac:dyDescent="0.35">
      <c r="A18" s="22" t="s">
        <v>12</v>
      </c>
      <c r="B18" s="35">
        <f>-5000</f>
        <v>-5000</v>
      </c>
      <c r="C18" s="36">
        <f>-6000</f>
        <v>-6000</v>
      </c>
      <c r="D18" s="36">
        <f>-6000</f>
        <v>-6000</v>
      </c>
      <c r="E18" s="36">
        <f>-7000</f>
        <v>-7000</v>
      </c>
      <c r="F18" s="36">
        <f>-8000</f>
        <v>-8000</v>
      </c>
      <c r="G18" s="37">
        <f>-8000</f>
        <v>-8000</v>
      </c>
    </row>
    <row r="19" spans="1:17" ht="29.4" thickBot="1" x14ac:dyDescent="0.35">
      <c r="A19" s="31" t="s">
        <v>13</v>
      </c>
      <c r="B19" s="32">
        <f t="shared" ref="B19:G19" si="2">SUM(B16:B18)</f>
        <v>-105000</v>
      </c>
      <c r="C19" s="33">
        <f t="shared" si="2"/>
        <v>-36000</v>
      </c>
      <c r="D19" s="33">
        <f t="shared" si="2"/>
        <v>-176000</v>
      </c>
      <c r="E19" s="33">
        <f t="shared" si="2"/>
        <v>-27000</v>
      </c>
      <c r="F19" s="33">
        <f t="shared" si="2"/>
        <v>-398000</v>
      </c>
      <c r="G19" s="34">
        <f t="shared" si="2"/>
        <v>-48000</v>
      </c>
      <c r="P19" s="50" t="s">
        <v>33</v>
      </c>
      <c r="Q19" s="55">
        <f>Q8+Q17</f>
        <v>39137554.559517115</v>
      </c>
    </row>
    <row r="20" spans="1:17" ht="15" thickBot="1" x14ac:dyDescent="0.35">
      <c r="A20" s="61" t="s">
        <v>14</v>
      </c>
      <c r="B20" s="103"/>
      <c r="C20" s="103"/>
      <c r="D20" s="103"/>
      <c r="E20" s="103"/>
      <c r="F20" s="103"/>
      <c r="G20" s="104"/>
    </row>
    <row r="21" spans="1:17" x14ac:dyDescent="0.3">
      <c r="A21" s="22" t="s">
        <v>15</v>
      </c>
      <c r="B21" s="23"/>
      <c r="C21" s="24"/>
      <c r="D21" s="24"/>
      <c r="E21" s="24"/>
      <c r="F21" s="24"/>
      <c r="G21" s="25"/>
      <c r="J21" s="120" t="s">
        <v>52</v>
      </c>
      <c r="K21" s="88">
        <f>143*0.2</f>
        <v>28.6</v>
      </c>
      <c r="L21" s="121" t="s">
        <v>58</v>
      </c>
      <c r="M21" s="121"/>
      <c r="N21" s="121"/>
      <c r="O21" s="121"/>
      <c r="P21" s="121"/>
      <c r="Q21" s="122"/>
    </row>
    <row r="22" spans="1:17" x14ac:dyDescent="0.3">
      <c r="A22" s="9" t="s">
        <v>16</v>
      </c>
      <c r="B22" s="10"/>
      <c r="C22" s="11"/>
      <c r="D22" s="11"/>
      <c r="E22" s="11"/>
      <c r="F22" s="11"/>
      <c r="G22" s="12"/>
      <c r="J22" s="123" t="s">
        <v>53</v>
      </c>
      <c r="K22" s="22">
        <f>K21*0.25</f>
        <v>7.15</v>
      </c>
      <c r="L22" s="124" t="s">
        <v>59</v>
      </c>
      <c r="M22" s="124"/>
      <c r="N22" s="124"/>
      <c r="O22" s="124"/>
      <c r="P22" s="124"/>
      <c r="Q22" s="125"/>
    </row>
    <row r="23" spans="1:17" x14ac:dyDescent="0.3">
      <c r="A23" s="22" t="s">
        <v>19</v>
      </c>
      <c r="B23" s="35">
        <f>20000*5</f>
        <v>100000</v>
      </c>
      <c r="C23" s="24">
        <v>0</v>
      </c>
      <c r="D23" s="24">
        <v>0</v>
      </c>
      <c r="E23" s="24">
        <v>0</v>
      </c>
      <c r="F23" s="24">
        <v>0</v>
      </c>
      <c r="G23" s="25">
        <v>0</v>
      </c>
      <c r="J23" s="123" t="s">
        <v>54</v>
      </c>
      <c r="K23" s="86">
        <f>K22*0.35</f>
        <v>2.5024999999999999</v>
      </c>
      <c r="L23" s="124" t="s">
        <v>60</v>
      </c>
      <c r="M23" s="124"/>
      <c r="N23" s="124"/>
      <c r="O23" s="124"/>
      <c r="P23" s="124"/>
      <c r="Q23" s="125"/>
    </row>
    <row r="24" spans="1:17" x14ac:dyDescent="0.3">
      <c r="A24" s="22" t="s">
        <v>56</v>
      </c>
      <c r="B24" s="35">
        <v>1000000</v>
      </c>
      <c r="C24" s="24">
        <v>0</v>
      </c>
      <c r="D24" s="24">
        <v>0</v>
      </c>
      <c r="E24" s="24">
        <v>0</v>
      </c>
      <c r="F24" s="24">
        <v>0</v>
      </c>
      <c r="G24" s="25">
        <v>0</v>
      </c>
      <c r="J24" s="123" t="s">
        <v>55</v>
      </c>
      <c r="K24" s="126">
        <f>K23*0.5*1000</f>
        <v>1251.25</v>
      </c>
      <c r="L24" s="124" t="s">
        <v>61</v>
      </c>
      <c r="M24" s="124"/>
      <c r="N24" s="124"/>
      <c r="O24" s="124"/>
      <c r="P24" s="124"/>
      <c r="Q24" s="125"/>
    </row>
    <row r="25" spans="1:17" ht="29.4" thickBot="1" x14ac:dyDescent="0.35">
      <c r="A25" s="31" t="s">
        <v>22</v>
      </c>
      <c r="B25" s="39">
        <f t="shared" ref="B25:G25" si="3">SUM(B21:B24)</f>
        <v>1100000</v>
      </c>
      <c r="C25" s="40">
        <f t="shared" si="3"/>
        <v>0</v>
      </c>
      <c r="D25" s="40">
        <f t="shared" si="3"/>
        <v>0</v>
      </c>
      <c r="E25" s="40">
        <f t="shared" si="3"/>
        <v>0</v>
      </c>
      <c r="F25" s="40">
        <f t="shared" si="3"/>
        <v>0</v>
      </c>
      <c r="G25" s="41">
        <f t="shared" si="3"/>
        <v>0</v>
      </c>
      <c r="J25" s="117"/>
      <c r="K25" s="49">
        <f>K24*0.05</f>
        <v>62.5625</v>
      </c>
      <c r="L25" s="118" t="s">
        <v>62</v>
      </c>
      <c r="M25" s="118"/>
      <c r="N25" s="118"/>
      <c r="O25" s="118"/>
      <c r="P25" s="118"/>
      <c r="Q25" s="119"/>
    </row>
    <row r="26" spans="1:17" ht="15" thickBot="1" x14ac:dyDescent="0.35">
      <c r="A26" s="62" t="s">
        <v>23</v>
      </c>
      <c r="B26" s="42">
        <f t="shared" ref="B26:G26" si="4">B14+B19+B25</f>
        <v>455000</v>
      </c>
      <c r="C26" s="42">
        <f t="shared" si="4"/>
        <v>1548426</v>
      </c>
      <c r="D26" s="42">
        <f t="shared" si="4"/>
        <v>2365480.42</v>
      </c>
      <c r="E26" s="42">
        <f t="shared" si="4"/>
        <v>758407.45440000028</v>
      </c>
      <c r="F26" s="42">
        <f t="shared" si="4"/>
        <v>4668331.26501376</v>
      </c>
      <c r="G26" s="43">
        <f t="shared" si="4"/>
        <v>14979656.146532336</v>
      </c>
    </row>
    <row r="27" spans="1:17" ht="29.4" thickBot="1" x14ac:dyDescent="0.35">
      <c r="A27" s="63" t="s">
        <v>24</v>
      </c>
      <c r="B27" s="44">
        <f>B26</f>
        <v>455000</v>
      </c>
      <c r="C27" s="40">
        <f>B27+C26</f>
        <v>2003426</v>
      </c>
      <c r="D27" s="40">
        <f>C27+D26</f>
        <v>4368906.42</v>
      </c>
      <c r="E27" s="40">
        <f>D27+E26</f>
        <v>5127313.8744000001</v>
      </c>
      <c r="F27" s="40">
        <f>E27+F26</f>
        <v>9795645.1394137591</v>
      </c>
      <c r="G27" s="45">
        <f>F27+G26</f>
        <v>24775301.285946093</v>
      </c>
    </row>
    <row r="28" spans="1:17" x14ac:dyDescent="0.3">
      <c r="B28" s="1"/>
      <c r="C28" s="1"/>
      <c r="D28" s="1"/>
      <c r="E28" s="1"/>
      <c r="F28" s="1"/>
      <c r="G28" s="1"/>
    </row>
    <row r="29" spans="1:17" x14ac:dyDescent="0.3">
      <c r="B29" s="1"/>
      <c r="C29" s="1"/>
      <c r="D29" s="1"/>
      <c r="E29" s="1"/>
      <c r="F29" s="1"/>
      <c r="G29" s="1"/>
    </row>
  </sheetData>
  <mergeCells count="11">
    <mergeCell ref="B1:G1"/>
    <mergeCell ref="B5:G5"/>
    <mergeCell ref="B15:G15"/>
    <mergeCell ref="B20:G20"/>
    <mergeCell ref="J2:J7"/>
    <mergeCell ref="J11:J16"/>
    <mergeCell ref="L21:Q21"/>
    <mergeCell ref="L22:Q22"/>
    <mergeCell ref="L23:Q23"/>
    <mergeCell ref="L24:Q24"/>
    <mergeCell ref="L25:Q25"/>
  </mergeCells>
  <pageMargins left="0.7" right="0.7" top="0.75" bottom="0.75" header="0.3" footer="0.3"/>
  <ignoredErrors>
    <ignoredError sqref="M13" formula="1"/>
    <ignoredError sqref="B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Normal="100" workbookViewId="0">
      <selection activeCell="E43" sqref="E43"/>
    </sheetView>
  </sheetViews>
  <sheetFormatPr defaultRowHeight="14.4" x14ac:dyDescent="0.3"/>
  <cols>
    <col min="1" max="1" width="36.88671875" bestFit="1" customWidth="1"/>
    <col min="2" max="2" width="11.109375" bestFit="1" customWidth="1"/>
    <col min="3" max="3" width="9" bestFit="1" customWidth="1"/>
    <col min="4" max="4" width="10" bestFit="1" customWidth="1"/>
    <col min="5" max="7" width="11" bestFit="1" customWidth="1"/>
    <col min="12" max="12" width="13.6640625" customWidth="1"/>
    <col min="13" max="13" width="13.88671875" customWidth="1"/>
    <col min="14" max="14" width="15.5546875" customWidth="1"/>
    <col min="15" max="15" width="12.88671875" customWidth="1"/>
    <col min="16" max="16" width="13.109375" bestFit="1" customWidth="1"/>
    <col min="17" max="17" width="13.5546875" bestFit="1" customWidth="1"/>
  </cols>
  <sheetData>
    <row r="1" spans="1:17" ht="15" thickBot="1" x14ac:dyDescent="0.35">
      <c r="A1" s="60" t="s">
        <v>0</v>
      </c>
      <c r="B1" s="98" t="s">
        <v>25</v>
      </c>
      <c r="C1" s="99"/>
      <c r="D1" s="99"/>
      <c r="E1" s="99"/>
      <c r="F1" s="99"/>
      <c r="G1" s="100"/>
    </row>
    <row r="2" spans="1:17" ht="43.8" thickBot="1" x14ac:dyDescent="0.35">
      <c r="A2" s="61" t="s">
        <v>1</v>
      </c>
      <c r="B2" s="16">
        <v>0</v>
      </c>
      <c r="C2" s="17">
        <v>1</v>
      </c>
      <c r="D2" s="17">
        <v>2</v>
      </c>
      <c r="E2" s="17">
        <v>3</v>
      </c>
      <c r="F2" s="17">
        <v>4</v>
      </c>
      <c r="G2" s="7">
        <v>5</v>
      </c>
      <c r="J2" s="105" t="s">
        <v>26</v>
      </c>
      <c r="K2" s="51" t="s">
        <v>27</v>
      </c>
      <c r="L2" s="52" t="s">
        <v>28</v>
      </c>
      <c r="M2" s="52" t="s">
        <v>29</v>
      </c>
      <c r="N2" s="52" t="s">
        <v>30</v>
      </c>
      <c r="O2" s="52" t="s">
        <v>57</v>
      </c>
      <c r="P2" s="53" t="s">
        <v>32</v>
      </c>
      <c r="Q2" s="54" t="s">
        <v>33</v>
      </c>
    </row>
    <row r="3" spans="1:17" ht="15" thickBot="1" x14ac:dyDescent="0.35">
      <c r="A3" s="18" t="s">
        <v>2</v>
      </c>
      <c r="B3" s="19">
        <v>0</v>
      </c>
      <c r="C3" s="20">
        <f>Q3</f>
        <v>2983050</v>
      </c>
      <c r="D3" s="20">
        <f>Q4</f>
        <v>4246389</v>
      </c>
      <c r="E3" s="79">
        <f>Q5</f>
        <v>1627713.3600000003</v>
      </c>
      <c r="F3" s="20">
        <f>Q6</f>
        <v>8483173.965504</v>
      </c>
      <c r="G3" s="21">
        <f>Q7</f>
        <v>20130915.855093122</v>
      </c>
      <c r="J3" s="106"/>
      <c r="K3" s="64">
        <v>1</v>
      </c>
      <c r="L3" s="65">
        <v>63000</v>
      </c>
      <c r="M3" s="20">
        <f>L3*0.025</f>
        <v>1575</v>
      </c>
      <c r="N3" s="20">
        <f>M3*0.5</f>
        <v>787.5</v>
      </c>
      <c r="O3" s="65">
        <f>5000*0.2</f>
        <v>1000</v>
      </c>
      <c r="P3" s="87">
        <f>149*12</f>
        <v>1788</v>
      </c>
      <c r="Q3" s="95">
        <f>M3*O3+N3*P3</f>
        <v>2983050</v>
      </c>
    </row>
    <row r="4" spans="1:17" ht="15" thickBot="1" x14ac:dyDescent="0.35">
      <c r="A4" s="22" t="s">
        <v>3</v>
      </c>
      <c r="B4" s="23">
        <v>0</v>
      </c>
      <c r="C4" s="24">
        <f>Q12</f>
        <v>374850</v>
      </c>
      <c r="D4" s="24">
        <f>Q13</f>
        <v>129654</v>
      </c>
      <c r="E4" s="24">
        <f>Q14</f>
        <v>133358.39999999999</v>
      </c>
      <c r="F4" s="24">
        <f>Q15</f>
        <v>257603.97600000002</v>
      </c>
      <c r="G4" s="25">
        <f>Q16</f>
        <v>770846.00292</v>
      </c>
      <c r="J4" s="106"/>
      <c r="K4" s="66">
        <v>2</v>
      </c>
      <c r="L4" s="24">
        <f>L3-L3*0.5+L3*0.2</f>
        <v>44100</v>
      </c>
      <c r="M4" s="24">
        <f>L4*0.05</f>
        <v>2205</v>
      </c>
      <c r="N4" s="24">
        <f>M4*0.35</f>
        <v>771.75</v>
      </c>
      <c r="O4" s="67">
        <f>6500*0.2</f>
        <v>1300</v>
      </c>
      <c r="P4" s="85">
        <f>149*12</f>
        <v>1788</v>
      </c>
      <c r="Q4" s="95">
        <f t="shared" ref="Q4:Q7" si="0">M4*O4+N4*P4</f>
        <v>4246389</v>
      </c>
    </row>
    <row r="5" spans="1:17" ht="15" thickBot="1" x14ac:dyDescent="0.35">
      <c r="A5" s="26" t="s">
        <v>4</v>
      </c>
      <c r="B5" s="101"/>
      <c r="C5" s="101"/>
      <c r="D5" s="101"/>
      <c r="E5" s="101"/>
      <c r="F5" s="101"/>
      <c r="G5" s="102"/>
      <c r="J5" s="106"/>
      <c r="K5" s="66">
        <v>3</v>
      </c>
      <c r="L5" s="24">
        <f>L4-L4*0.4</f>
        <v>26460</v>
      </c>
      <c r="M5" s="24">
        <f>L5*0.035</f>
        <v>926.10000000000014</v>
      </c>
      <c r="N5" s="24">
        <f>M5*0.2</f>
        <v>185.22000000000003</v>
      </c>
      <c r="O5" s="67">
        <f>7000*0.2</f>
        <v>1400</v>
      </c>
      <c r="P5" s="85">
        <f>149*12</f>
        <v>1788</v>
      </c>
      <c r="Q5" s="95">
        <f t="shared" si="0"/>
        <v>1627713.3600000003</v>
      </c>
    </row>
    <row r="6" spans="1:17" ht="15" thickBot="1" x14ac:dyDescent="0.35">
      <c r="A6" s="27" t="s">
        <v>3</v>
      </c>
      <c r="B6" s="80">
        <f>-150000</f>
        <v>-150000</v>
      </c>
      <c r="C6" s="24">
        <f>-30000*12</f>
        <v>-360000</v>
      </c>
      <c r="D6" s="24">
        <f>-30000*12</f>
        <v>-360000</v>
      </c>
      <c r="E6" s="24">
        <f>-20000*12</f>
        <v>-240000</v>
      </c>
      <c r="F6" s="24">
        <f>-50000*12</f>
        <v>-600000</v>
      </c>
      <c r="G6" s="28">
        <f>-70000*12</f>
        <v>-840000</v>
      </c>
      <c r="J6" s="106"/>
      <c r="K6" s="66">
        <v>4</v>
      </c>
      <c r="L6" s="24">
        <f>L5+L5*0.83</f>
        <v>48421.8</v>
      </c>
      <c r="M6" s="24">
        <f>L6*0.054</f>
        <v>2614.7772</v>
      </c>
      <c r="N6" s="24">
        <f>M6*0.64</f>
        <v>1673.457408</v>
      </c>
      <c r="O6" s="67">
        <f>7000*0.3</f>
        <v>2100</v>
      </c>
      <c r="P6" s="85">
        <f>149*12</f>
        <v>1788</v>
      </c>
      <c r="Q6" s="95">
        <f>M6*O6+N6*P6</f>
        <v>8483173.965504</v>
      </c>
    </row>
    <row r="7" spans="1:17" ht="15" thickBot="1" x14ac:dyDescent="0.35">
      <c r="A7" s="27" t="s">
        <v>5</v>
      </c>
      <c r="B7" s="80">
        <f>-2*150000</f>
        <v>-300000</v>
      </c>
      <c r="C7" s="74">
        <v>0</v>
      </c>
      <c r="D7" s="74">
        <v>0</v>
      </c>
      <c r="E7" s="74">
        <v>0</v>
      </c>
      <c r="F7" s="74">
        <v>0</v>
      </c>
      <c r="G7" s="75">
        <v>0</v>
      </c>
      <c r="J7" s="107"/>
      <c r="K7" s="46">
        <v>5</v>
      </c>
      <c r="L7" s="40">
        <f>L6-L6*0.05+L6*0.71</f>
        <v>80380.188000000009</v>
      </c>
      <c r="M7" s="40">
        <f>L7*0.066</f>
        <v>5305.0924080000004</v>
      </c>
      <c r="N7" s="40">
        <f>M7*0.78</f>
        <v>4137.9720782400009</v>
      </c>
      <c r="O7" s="47">
        <f>8000*0.3</f>
        <v>2400</v>
      </c>
      <c r="P7" s="48">
        <f>149*12</f>
        <v>1788</v>
      </c>
      <c r="Q7" s="95">
        <f t="shared" si="0"/>
        <v>20130915.855093122</v>
      </c>
    </row>
    <row r="8" spans="1:17" ht="15" thickBot="1" x14ac:dyDescent="0.35">
      <c r="A8" s="27" t="s">
        <v>6</v>
      </c>
      <c r="B8" s="23">
        <v>0</v>
      </c>
      <c r="C8" s="29">
        <f>-25000*12*2</f>
        <v>-600000</v>
      </c>
      <c r="D8" s="29">
        <f>-25000*12*2</f>
        <v>-600000</v>
      </c>
      <c r="E8" s="29">
        <f>-25000*12</f>
        <v>-300000</v>
      </c>
      <c r="F8" s="29">
        <f>-25000*12*5</f>
        <v>-1500000</v>
      </c>
      <c r="G8" s="30">
        <f>-25000*12*8</f>
        <v>-2400000</v>
      </c>
      <c r="L8" s="1"/>
      <c r="M8" s="1"/>
      <c r="N8" s="1"/>
      <c r="P8" s="50" t="s">
        <v>34</v>
      </c>
      <c r="Q8" s="55">
        <f>SUM(Q3:Q7)</f>
        <v>37471242.180597119</v>
      </c>
    </row>
    <row r="9" spans="1:17" x14ac:dyDescent="0.3">
      <c r="A9" s="27" t="s">
        <v>47</v>
      </c>
      <c r="B9" s="23">
        <f>0.3*B7</f>
        <v>-90000</v>
      </c>
      <c r="C9" s="23">
        <f>0.3*C8</f>
        <v>-180000</v>
      </c>
      <c r="D9" s="23">
        <f t="shared" ref="D9:G9" si="1">0.3*D8</f>
        <v>-180000</v>
      </c>
      <c r="E9" s="23">
        <f t="shared" si="1"/>
        <v>-90000</v>
      </c>
      <c r="F9" s="23">
        <f t="shared" si="1"/>
        <v>-450000</v>
      </c>
      <c r="G9" s="25">
        <f t="shared" si="1"/>
        <v>-720000</v>
      </c>
      <c r="L9" s="1"/>
      <c r="M9" s="1"/>
      <c r="N9" s="1"/>
      <c r="P9" s="82"/>
      <c r="Q9" s="1"/>
    </row>
    <row r="10" spans="1:17" ht="15" thickBot="1" x14ac:dyDescent="0.35">
      <c r="A10" s="27" t="s">
        <v>7</v>
      </c>
      <c r="B10" s="23">
        <v>0</v>
      </c>
      <c r="C10" s="29">
        <f>-30000*12</f>
        <v>-360000</v>
      </c>
      <c r="D10" s="29">
        <f>-30000*12</f>
        <v>-360000</v>
      </c>
      <c r="E10" s="29">
        <f>-20000*12</f>
        <v>-240000</v>
      </c>
      <c r="F10" s="29">
        <f>-40000*12</f>
        <v>-480000</v>
      </c>
      <c r="G10" s="30">
        <f>-50000*12</f>
        <v>-600000</v>
      </c>
    </row>
    <row r="11" spans="1:17" ht="43.2" x14ac:dyDescent="0.3">
      <c r="A11" s="27" t="s">
        <v>17</v>
      </c>
      <c r="B11" s="23">
        <v>0</v>
      </c>
      <c r="C11" s="29">
        <f>-3000*2*12</f>
        <v>-72000</v>
      </c>
      <c r="D11" s="29">
        <f>-3000*2*12</f>
        <v>-72000</v>
      </c>
      <c r="E11" s="29">
        <v>0</v>
      </c>
      <c r="F11" s="29">
        <f>-5000*2*12</f>
        <v>-120000</v>
      </c>
      <c r="G11" s="30">
        <f>-5000*12</f>
        <v>-60000</v>
      </c>
      <c r="J11" s="108" t="s">
        <v>35</v>
      </c>
      <c r="K11" s="56" t="s">
        <v>27</v>
      </c>
      <c r="L11" s="57" t="s">
        <v>28</v>
      </c>
      <c r="M11" s="57" t="s">
        <v>36</v>
      </c>
      <c r="N11" s="57" t="s">
        <v>37</v>
      </c>
      <c r="O11" s="57" t="s">
        <v>38</v>
      </c>
      <c r="P11" s="58" t="s">
        <v>39</v>
      </c>
      <c r="Q11" s="59" t="s">
        <v>33</v>
      </c>
    </row>
    <row r="12" spans="1:17" x14ac:dyDescent="0.3">
      <c r="A12" s="76" t="s">
        <v>48</v>
      </c>
      <c r="B12" s="77">
        <v>0</v>
      </c>
      <c r="C12" s="78">
        <f>-SUM(C3:C4)*0.06</f>
        <v>-201474</v>
      </c>
      <c r="D12" s="78">
        <f>-SUM(D3:D4)*0.06</f>
        <v>-262562.58</v>
      </c>
      <c r="E12" s="78">
        <f>-SUM(E3:E4)*0.06</f>
        <v>-105664.30560000001</v>
      </c>
      <c r="F12" s="78">
        <f>-SUM(F3:F4)*0.06</f>
        <v>-524446.67649023992</v>
      </c>
      <c r="G12" s="81">
        <f>-SUM(G3:G4)*0.06</f>
        <v>-1254105.7114807873</v>
      </c>
      <c r="J12" s="109"/>
      <c r="K12" s="66">
        <v>1</v>
      </c>
      <c r="L12" s="67">
        <v>63000</v>
      </c>
      <c r="M12" s="67">
        <f>L12*0.7</f>
        <v>44100</v>
      </c>
      <c r="N12" s="67">
        <f>M12*0.1</f>
        <v>4410</v>
      </c>
      <c r="O12" s="67">
        <v>7</v>
      </c>
      <c r="P12" s="85">
        <v>15</v>
      </c>
      <c r="Q12" s="86">
        <f>M12*O12+N12*P12</f>
        <v>374850</v>
      </c>
    </row>
    <row r="13" spans="1:17" x14ac:dyDescent="0.3">
      <c r="A13" s="8" t="s">
        <v>18</v>
      </c>
      <c r="B13" s="13"/>
      <c r="C13" s="14"/>
      <c r="D13" s="14"/>
      <c r="E13" s="14"/>
      <c r="F13" s="14"/>
      <c r="G13" s="15"/>
      <c r="J13" s="109"/>
      <c r="K13" s="66">
        <v>2</v>
      </c>
      <c r="L13" s="24">
        <f>L12-L12*0.5+L12*0.2</f>
        <v>44100</v>
      </c>
      <c r="M13" s="67">
        <f>L13*0.6</f>
        <v>26460</v>
      </c>
      <c r="N13" s="67">
        <f>M13*0.1</f>
        <v>2646</v>
      </c>
      <c r="O13" s="67">
        <v>4</v>
      </c>
      <c r="P13" s="85">
        <v>9</v>
      </c>
      <c r="Q13" s="86">
        <f>M13*O13+N13*P13</f>
        <v>129654</v>
      </c>
    </row>
    <row r="14" spans="1:17" ht="29.4" thickBot="1" x14ac:dyDescent="0.35">
      <c r="A14" s="31" t="s">
        <v>8</v>
      </c>
      <c r="B14" s="32">
        <f t="shared" ref="B14:G14" si="2">SUM(B3:B4)+SUM(B6:B13)</f>
        <v>-540000</v>
      </c>
      <c r="C14" s="33">
        <f t="shared" si="2"/>
        <v>1584426</v>
      </c>
      <c r="D14" s="33">
        <f t="shared" si="2"/>
        <v>2541480.42</v>
      </c>
      <c r="E14" s="33">
        <f t="shared" si="2"/>
        <v>785407.45440000028</v>
      </c>
      <c r="F14" s="33">
        <f t="shared" si="2"/>
        <v>5066331.26501376</v>
      </c>
      <c r="G14" s="34">
        <f t="shared" si="2"/>
        <v>15027656.146532336</v>
      </c>
      <c r="J14" s="109"/>
      <c r="K14" s="66">
        <v>3</v>
      </c>
      <c r="L14" s="24">
        <f>L13-L13*0.4</f>
        <v>26460</v>
      </c>
      <c r="M14" s="67">
        <f>L14*0.7</f>
        <v>18522</v>
      </c>
      <c r="N14" s="67">
        <f>M14*0.2</f>
        <v>3704.4</v>
      </c>
      <c r="O14" s="67">
        <v>5</v>
      </c>
      <c r="P14" s="85">
        <v>11</v>
      </c>
      <c r="Q14" s="86">
        <f>M14*O14+N14*P14</f>
        <v>133358.39999999999</v>
      </c>
    </row>
    <row r="15" spans="1:17" x14ac:dyDescent="0.3">
      <c r="A15" s="61" t="s">
        <v>9</v>
      </c>
      <c r="B15" s="103"/>
      <c r="C15" s="103"/>
      <c r="D15" s="103"/>
      <c r="E15" s="103"/>
      <c r="F15" s="103"/>
      <c r="G15" s="104"/>
      <c r="J15" s="109"/>
      <c r="K15" s="66">
        <v>4</v>
      </c>
      <c r="L15" s="24">
        <f>L14+L14*0.83</f>
        <v>48421.8</v>
      </c>
      <c r="M15" s="24">
        <f>L15*0.7</f>
        <v>33895.26</v>
      </c>
      <c r="N15" s="24">
        <f>M15*0.2</f>
        <v>6779.0520000000006</v>
      </c>
      <c r="O15" s="67">
        <v>5</v>
      </c>
      <c r="P15" s="85">
        <v>13</v>
      </c>
      <c r="Q15" s="86">
        <f>M15*O15+N15*P15</f>
        <v>257603.97600000002</v>
      </c>
    </row>
    <row r="16" spans="1:17" ht="15" thickBot="1" x14ac:dyDescent="0.35">
      <c r="A16" s="22" t="s">
        <v>10</v>
      </c>
      <c r="B16" s="35">
        <f>-1*70000</f>
        <v>-70000</v>
      </c>
      <c r="C16" s="24"/>
      <c r="D16" s="24">
        <f>-2*70000</f>
        <v>-140000</v>
      </c>
      <c r="E16" s="24"/>
      <c r="F16" s="24">
        <f>-5*70000</f>
        <v>-350000</v>
      </c>
      <c r="G16" s="28"/>
      <c r="J16" s="110"/>
      <c r="K16" s="46">
        <v>5</v>
      </c>
      <c r="L16" s="40">
        <f>L15-L15*0.05+L15*0.71</f>
        <v>80380.188000000009</v>
      </c>
      <c r="M16" s="40">
        <f>L16*0.7</f>
        <v>56266.131600000001</v>
      </c>
      <c r="N16" s="40">
        <f>M16*0.3</f>
        <v>16879.839479999999</v>
      </c>
      <c r="O16" s="47">
        <v>8</v>
      </c>
      <c r="P16" s="48">
        <v>19</v>
      </c>
      <c r="Q16" s="49">
        <f>M16*O16+N16*P16</f>
        <v>770846.00292</v>
      </c>
    </row>
    <row r="17" spans="1:17" ht="15" thickBot="1" x14ac:dyDescent="0.35">
      <c r="A17" s="22" t="s">
        <v>11</v>
      </c>
      <c r="B17" s="35">
        <f>-30000</f>
        <v>-30000</v>
      </c>
      <c r="C17" s="36">
        <f>-30000</f>
        <v>-30000</v>
      </c>
      <c r="D17" s="36">
        <f>-30000</f>
        <v>-30000</v>
      </c>
      <c r="E17" s="24">
        <f>-20000</f>
        <v>-20000</v>
      </c>
      <c r="F17" s="24">
        <f>-40000</f>
        <v>-40000</v>
      </c>
      <c r="G17" s="28">
        <f>-40000</f>
        <v>-40000</v>
      </c>
      <c r="J17" s="83"/>
      <c r="P17" s="84" t="s">
        <v>34</v>
      </c>
      <c r="Q17" s="34">
        <f>SUM(Q12:Q16)</f>
        <v>1666312.37892</v>
      </c>
    </row>
    <row r="18" spans="1:17" ht="15" thickBot="1" x14ac:dyDescent="0.35">
      <c r="A18" s="22" t="s">
        <v>12</v>
      </c>
      <c r="B18" s="35">
        <f>-5000</f>
        <v>-5000</v>
      </c>
      <c r="C18" s="36">
        <f>-6000</f>
        <v>-6000</v>
      </c>
      <c r="D18" s="36">
        <f>-6000</f>
        <v>-6000</v>
      </c>
      <c r="E18" s="36">
        <f>-7000</f>
        <v>-7000</v>
      </c>
      <c r="F18" s="36">
        <f>-8000</f>
        <v>-8000</v>
      </c>
      <c r="G18" s="37">
        <f>-8000</f>
        <v>-8000</v>
      </c>
    </row>
    <row r="19" spans="1:17" ht="29.4" thickBot="1" x14ac:dyDescent="0.35">
      <c r="A19" s="31" t="s">
        <v>13</v>
      </c>
      <c r="B19" s="32">
        <f t="shared" ref="B19:G19" si="3">SUM(B16:B18)</f>
        <v>-105000</v>
      </c>
      <c r="C19" s="33">
        <f t="shared" si="3"/>
        <v>-36000</v>
      </c>
      <c r="D19" s="33">
        <f t="shared" si="3"/>
        <v>-176000</v>
      </c>
      <c r="E19" s="33">
        <f t="shared" si="3"/>
        <v>-27000</v>
      </c>
      <c r="F19" s="33">
        <f t="shared" si="3"/>
        <v>-398000</v>
      </c>
      <c r="G19" s="34">
        <f t="shared" si="3"/>
        <v>-48000</v>
      </c>
      <c r="P19" s="50" t="s">
        <v>33</v>
      </c>
      <c r="Q19" s="55">
        <f>Q8+Q17</f>
        <v>39137554.559517115</v>
      </c>
    </row>
    <row r="20" spans="1:17" x14ac:dyDescent="0.3">
      <c r="A20" s="61" t="s">
        <v>14</v>
      </c>
      <c r="B20" s="103"/>
      <c r="C20" s="103"/>
      <c r="D20" s="103"/>
      <c r="E20" s="103"/>
      <c r="F20" s="103"/>
      <c r="G20" s="104"/>
    </row>
    <row r="21" spans="1:17" x14ac:dyDescent="0.3">
      <c r="A21" s="22" t="s">
        <v>15</v>
      </c>
      <c r="B21" s="23"/>
      <c r="C21" s="24"/>
      <c r="D21" s="24"/>
      <c r="E21" s="24"/>
      <c r="F21" s="24"/>
      <c r="G21" s="25"/>
    </row>
    <row r="22" spans="1:17" x14ac:dyDescent="0.3">
      <c r="A22" s="9" t="s">
        <v>16</v>
      </c>
      <c r="B22" s="10"/>
      <c r="C22" s="11"/>
      <c r="D22" s="11"/>
      <c r="E22" s="11"/>
      <c r="F22" s="11"/>
      <c r="G22" s="12"/>
    </row>
    <row r="23" spans="1:17" x14ac:dyDescent="0.3">
      <c r="A23" s="22" t="s">
        <v>19</v>
      </c>
      <c r="B23" s="35">
        <v>0</v>
      </c>
      <c r="C23" s="24">
        <v>0</v>
      </c>
      <c r="D23" s="24">
        <v>0</v>
      </c>
      <c r="E23" s="24">
        <v>0</v>
      </c>
      <c r="F23" s="24">
        <v>0</v>
      </c>
      <c r="G23" s="25">
        <v>0</v>
      </c>
    </row>
    <row r="24" spans="1:17" x14ac:dyDescent="0.3">
      <c r="A24" s="22" t="s">
        <v>20</v>
      </c>
      <c r="B24" s="35">
        <v>0</v>
      </c>
      <c r="C24" s="24">
        <v>0</v>
      </c>
      <c r="D24" s="24">
        <v>0</v>
      </c>
      <c r="E24" s="24">
        <v>0</v>
      </c>
      <c r="F24" s="24">
        <v>0</v>
      </c>
      <c r="G24" s="25">
        <v>0</v>
      </c>
    </row>
    <row r="25" spans="1:17" x14ac:dyDescent="0.3">
      <c r="A25" s="22" t="s">
        <v>21</v>
      </c>
      <c r="B25" s="38">
        <v>0</v>
      </c>
      <c r="C25" s="24">
        <v>0</v>
      </c>
      <c r="D25" s="24">
        <v>0</v>
      </c>
      <c r="E25" s="24">
        <v>0</v>
      </c>
      <c r="F25" s="24">
        <v>0</v>
      </c>
      <c r="G25" s="28">
        <v>0</v>
      </c>
    </row>
    <row r="26" spans="1:17" ht="29.4" thickBot="1" x14ac:dyDescent="0.35">
      <c r="A26" s="31" t="s">
        <v>22</v>
      </c>
      <c r="B26" s="39">
        <f t="shared" ref="B26:G26" si="4">SUM(B21:B25)</f>
        <v>0</v>
      </c>
      <c r="C26" s="40">
        <f t="shared" si="4"/>
        <v>0</v>
      </c>
      <c r="D26" s="40">
        <f t="shared" si="4"/>
        <v>0</v>
      </c>
      <c r="E26" s="40">
        <f t="shared" si="4"/>
        <v>0</v>
      </c>
      <c r="F26" s="40">
        <f t="shared" si="4"/>
        <v>0</v>
      </c>
      <c r="G26" s="41">
        <f t="shared" si="4"/>
        <v>0</v>
      </c>
    </row>
    <row r="27" spans="1:17" ht="15" thickBot="1" x14ac:dyDescent="0.35">
      <c r="A27" s="72" t="s">
        <v>23</v>
      </c>
      <c r="B27" s="42">
        <f>B14+B19+B26</f>
        <v>-645000</v>
      </c>
      <c r="C27" s="42">
        <f t="shared" ref="C27:G27" si="5">C14+C19+C26</f>
        <v>1548426</v>
      </c>
      <c r="D27" s="42">
        <f t="shared" si="5"/>
        <v>2365480.42</v>
      </c>
      <c r="E27" s="42">
        <f t="shared" si="5"/>
        <v>758407.45440000028</v>
      </c>
      <c r="F27" s="42">
        <f t="shared" si="5"/>
        <v>4668331.26501376</v>
      </c>
      <c r="G27" s="43">
        <f t="shared" si="5"/>
        <v>14979656.146532336</v>
      </c>
    </row>
    <row r="28" spans="1:17" ht="15" thickBot="1" x14ac:dyDescent="0.35">
      <c r="A28" s="2" t="s">
        <v>40</v>
      </c>
      <c r="B28" s="69">
        <f>1/((1+$B$35/100)^B2)</f>
        <v>1</v>
      </c>
      <c r="C28" s="69">
        <f t="shared" ref="C28:G28" si="6">1/((1+$B$35/100)^C2)</f>
        <v>0.99825305714998758</v>
      </c>
      <c r="D28" s="69">
        <f t="shared" si="6"/>
        <v>0.99650916610929641</v>
      </c>
      <c r="E28" s="69">
        <f t="shared" si="6"/>
        <v>0.9947683215465899</v>
      </c>
      <c r="F28" s="69">
        <f t="shared" si="6"/>
        <v>0.99303051813984522</v>
      </c>
      <c r="G28" s="69">
        <f t="shared" si="6"/>
        <v>0.99129575057633679</v>
      </c>
    </row>
    <row r="29" spans="1:17" ht="15" thickBot="1" x14ac:dyDescent="0.35">
      <c r="A29" s="72" t="s">
        <v>41</v>
      </c>
      <c r="B29" s="90">
        <f t="shared" ref="B29:G29" si="7">B27*B28</f>
        <v>-645000</v>
      </c>
      <c r="C29" s="70">
        <f t="shared" si="7"/>
        <v>1545720.9882705268</v>
      </c>
      <c r="D29" s="70">
        <f t="shared" si="7"/>
        <v>2357222.9207820683</v>
      </c>
      <c r="E29" s="70">
        <f t="shared" si="7"/>
        <v>754439.71046191023</v>
      </c>
      <c r="F29" s="70">
        <f t="shared" si="7"/>
        <v>4635795.4149450529</v>
      </c>
      <c r="G29" s="71">
        <f t="shared" si="7"/>
        <v>14849269.483152209</v>
      </c>
    </row>
    <row r="30" spans="1:17" ht="29.4" thickBot="1" x14ac:dyDescent="0.35">
      <c r="A30" s="73" t="s">
        <v>42</v>
      </c>
      <c r="B30" s="46">
        <f>B29</f>
        <v>-645000</v>
      </c>
      <c r="C30" s="47">
        <f>C29+B30</f>
        <v>900720.98827052675</v>
      </c>
      <c r="D30" s="47">
        <f>D29+C30</f>
        <v>3257943.909052595</v>
      </c>
      <c r="E30" s="47">
        <f>E29+D30</f>
        <v>4012383.6195145054</v>
      </c>
      <c r="F30" s="47">
        <f>F29+E30</f>
        <v>8648179.0344595574</v>
      </c>
      <c r="G30" s="96">
        <f>G29+F30</f>
        <v>23497448.517611764</v>
      </c>
    </row>
    <row r="31" spans="1:17" ht="15" thickBot="1" x14ac:dyDescent="0.35"/>
    <row r="32" spans="1:17" ht="15" thickBot="1" x14ac:dyDescent="0.35">
      <c r="A32" s="111" t="s">
        <v>43</v>
      </c>
      <c r="B32" s="112"/>
    </row>
    <row r="33" spans="1:4" x14ac:dyDescent="0.3">
      <c r="A33" s="3" t="s">
        <v>44</v>
      </c>
      <c r="B33" s="4">
        <v>7.4999999999999997E-2</v>
      </c>
    </row>
    <row r="34" spans="1:4" ht="15" thickBot="1" x14ac:dyDescent="0.35">
      <c r="A34" s="5" t="s">
        <v>45</v>
      </c>
      <c r="B34" s="6">
        <v>0.1</v>
      </c>
    </row>
    <row r="35" spans="1:4" ht="15" thickBot="1" x14ac:dyDescent="0.35">
      <c r="A35" s="5" t="s">
        <v>46</v>
      </c>
      <c r="B35" s="89">
        <f>B33+B34</f>
        <v>0.17499999999999999</v>
      </c>
    </row>
    <row r="36" spans="1:4" ht="15" thickBot="1" x14ac:dyDescent="0.35">
      <c r="D36" s="91"/>
    </row>
    <row r="37" spans="1:4" x14ac:dyDescent="0.3">
      <c r="A37" s="93" t="s">
        <v>49</v>
      </c>
      <c r="B37" s="21">
        <f>SUM(B29:G29)</f>
        <v>23497448.517611764</v>
      </c>
    </row>
    <row r="38" spans="1:4" x14ac:dyDescent="0.3">
      <c r="A38" s="94" t="s">
        <v>51</v>
      </c>
      <c r="B38" s="68">
        <f>SUM(C29:G29)/-B29</f>
        <v>37.430152740483358</v>
      </c>
    </row>
    <row r="39" spans="1:4" ht="15" thickBot="1" x14ac:dyDescent="0.35">
      <c r="A39" s="92" t="s">
        <v>50</v>
      </c>
      <c r="B39" s="97">
        <f>-B30/C29</f>
        <v>0.41728100018987019</v>
      </c>
    </row>
    <row r="41" spans="1:4" x14ac:dyDescent="0.3">
      <c r="A41" s="116"/>
      <c r="B41" s="116"/>
    </row>
    <row r="42" spans="1:4" x14ac:dyDescent="0.3">
      <c r="A42" s="113"/>
      <c r="B42" s="114"/>
    </row>
    <row r="43" spans="1:4" x14ac:dyDescent="0.3">
      <c r="A43" s="115"/>
      <c r="B43" s="115"/>
    </row>
    <row r="44" spans="1:4" x14ac:dyDescent="0.3">
      <c r="A44" s="115"/>
      <c r="B44" s="115"/>
    </row>
  </sheetData>
  <mergeCells count="7">
    <mergeCell ref="J2:J7"/>
    <mergeCell ref="J11:J16"/>
    <mergeCell ref="B1:G1"/>
    <mergeCell ref="B5:G5"/>
    <mergeCell ref="B15:G15"/>
    <mergeCell ref="B20:G20"/>
    <mergeCell ref="A32:B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Финансовая модель</vt:lpstr>
      <vt:lpstr>Оценка эффективности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2022-12-13T10:56:05Z</dcterms:modified>
</cp:coreProperties>
</file>